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charts/chart2.xml" ContentType="application/vnd.openxmlformats-officedocument.drawingml.chart+xml"/>
  <Override PartName="/xl/drawings/drawing4.xml" ContentType="application/vnd.openxmlformats-officedocument.drawing+xml"/>
  <Default Extension="jpeg" ContentType="image/jpeg"/>
  <Override PartName="/xl/drawings/drawing5.xml" ContentType="application/vnd.openxmlformats-officedocument.drawing+xml"/>
  <Override PartName="/xl/vbaProject.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2.xml" ContentType="application/vnd.openxmlformats-officedocument.spreadsheetml.comment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codeName="{37E998C4-C9E5-D4B9-71C8-EB1FF731991C}"/>
  <workbookPr codeName="ThisWorkbook" defaultThemeVersion="124226"/>
  <bookViews>
    <workbookView xWindow="240" yWindow="135" windowWidth="12240" windowHeight="7965" firstSheet="5" activeTab="13"/>
  </bookViews>
  <sheets>
    <sheet name="xls2kml_latitudebias" sheetId="15" r:id="rId1"/>
    <sheet name="xls2kml_ionofree_PR" sheetId="21" r:id="rId2"/>
    <sheet name="xls2kml" sheetId="14" r:id="rId3"/>
    <sheet name="SP3" sheetId="1" r:id="rId4"/>
    <sheet name="sv02" sheetId="2" r:id="rId5"/>
    <sheet name="sv04" sheetId="5" r:id="rId6"/>
    <sheet name="sv07" sheetId="6" r:id="rId7"/>
    <sheet name="sv08" sheetId="7" r:id="rId8"/>
    <sheet name="sv10" sheetId="8" r:id="rId9"/>
    <sheet name="sv13" sheetId="9" r:id="rId10"/>
    <sheet name="sv20" sheetId="10" r:id="rId11"/>
    <sheet name="sv23" sheetId="11" r:id="rId12"/>
    <sheet name="tetto" sheetId="13" r:id="rId13"/>
    <sheet name="ionomap" sheetId="22" r:id="rId14"/>
    <sheet name="tetto_ionofree_PR" sheetId="20" r:id="rId15"/>
    <sheet name="coord" sheetId="12" r:id="rId16"/>
    <sheet name="leggimi" sheetId="16" r:id="rId17"/>
    <sheet name="traccia_su_CTR" sheetId="17" r:id="rId18"/>
    <sheet name="traccia_su_GoogleEarth_raw" sheetId="18" r:id="rId19"/>
    <sheet name="traccia_su_GoogleEarth_no_lat_b" sheetId="19" r:id="rId20"/>
  </sheets>
  <functionGroups/>
  <externalReferences>
    <externalReference r:id="rId21"/>
  </externalReferences>
  <definedNames>
    <definedName name="solver_adj" localSheetId="12" hidden="1">tetto!#REF!</definedName>
    <definedName name="solver_adj" localSheetId="14" hidden="1">tetto_ionofree_PR!#REF!</definedName>
    <definedName name="solver_cvg" localSheetId="12" hidden="1">0.0001</definedName>
    <definedName name="solver_cvg" localSheetId="14" hidden="1">0.0001</definedName>
    <definedName name="solver_drv" localSheetId="12" hidden="1">1</definedName>
    <definedName name="solver_drv" localSheetId="14" hidden="1">1</definedName>
    <definedName name="solver_est" localSheetId="12" hidden="1">1</definedName>
    <definedName name="solver_est" localSheetId="14" hidden="1">1</definedName>
    <definedName name="solver_itr" localSheetId="12" hidden="1">100</definedName>
    <definedName name="solver_itr" localSheetId="14" hidden="1">100</definedName>
    <definedName name="solver_lin" localSheetId="12" hidden="1">2</definedName>
    <definedName name="solver_lin" localSheetId="14" hidden="1">2</definedName>
    <definedName name="solver_neg" localSheetId="12" hidden="1">2</definedName>
    <definedName name="solver_neg" localSheetId="14" hidden="1">2</definedName>
    <definedName name="solver_num" localSheetId="12" hidden="1">0</definedName>
    <definedName name="solver_num" localSheetId="14" hidden="1">0</definedName>
    <definedName name="solver_nwt" localSheetId="12" hidden="1">1</definedName>
    <definedName name="solver_nwt" localSheetId="14" hidden="1">1</definedName>
    <definedName name="solver_opt" localSheetId="12" hidden="1">tetto!$X$49</definedName>
    <definedName name="solver_opt" localSheetId="14" hidden="1">tetto_ionofree_PR!$AA$49</definedName>
    <definedName name="solver_pre" localSheetId="12" hidden="1">0.000001</definedName>
    <definedName name="solver_pre" localSheetId="14" hidden="1">0.000001</definedName>
    <definedName name="solver_scl" localSheetId="12" hidden="1">2</definedName>
    <definedName name="solver_scl" localSheetId="14" hidden="1">2</definedName>
    <definedName name="solver_sho" localSheetId="12" hidden="1">2</definedName>
    <definedName name="solver_sho" localSheetId="14" hidden="1">2</definedName>
    <definedName name="solver_tim" localSheetId="12" hidden="1">100</definedName>
    <definedName name="solver_tim" localSheetId="14" hidden="1">100</definedName>
    <definedName name="solver_tol" localSheetId="12" hidden="1">0.05</definedName>
    <definedName name="solver_tol" localSheetId="14" hidden="1">0.05</definedName>
    <definedName name="solver_typ" localSheetId="12" hidden="1">2</definedName>
    <definedName name="solver_typ" localSheetId="14" hidden="1">2</definedName>
    <definedName name="solver_val" localSheetId="12" hidden="1">0</definedName>
    <definedName name="solver_val" localSheetId="14" hidden="1">0</definedName>
  </definedNames>
  <calcPr calcId="124519"/>
</workbook>
</file>

<file path=xl/calcChain.xml><?xml version="1.0" encoding="utf-8"?>
<calcChain xmlns="http://schemas.openxmlformats.org/spreadsheetml/2006/main">
  <c r="K200" i="22"/>
  <c r="J200"/>
  <c r="K199"/>
  <c r="J199"/>
  <c r="K198"/>
  <c r="J198"/>
  <c r="K197"/>
  <c r="J197"/>
  <c r="K196"/>
  <c r="J196"/>
  <c r="K195"/>
  <c r="J195"/>
  <c r="K194"/>
  <c r="J194"/>
  <c r="K192"/>
  <c r="J192"/>
  <c r="K191"/>
  <c r="J191"/>
  <c r="K190"/>
  <c r="J190"/>
  <c r="K189"/>
  <c r="J189"/>
  <c r="K188"/>
  <c r="J188"/>
  <c r="K187"/>
  <c r="J187"/>
  <c r="K186"/>
  <c r="J186"/>
  <c r="K184"/>
  <c r="J184"/>
  <c r="K183"/>
  <c r="J183"/>
  <c r="K182"/>
  <c r="J182"/>
  <c r="K181"/>
  <c r="J181"/>
  <c r="K180"/>
  <c r="J180"/>
  <c r="K179"/>
  <c r="J179"/>
  <c r="K178"/>
  <c r="J178"/>
  <c r="K176"/>
  <c r="J176"/>
  <c r="K175"/>
  <c r="J175"/>
  <c r="K174"/>
  <c r="J174"/>
  <c r="K173"/>
  <c r="J173"/>
  <c r="K172"/>
  <c r="J172"/>
  <c r="K171"/>
  <c r="J171"/>
  <c r="K170"/>
  <c r="J170"/>
  <c r="K168"/>
  <c r="J168"/>
  <c r="K167"/>
  <c r="J167"/>
  <c r="K166"/>
  <c r="J166"/>
  <c r="K165"/>
  <c r="J165"/>
  <c r="K164"/>
  <c r="J164"/>
  <c r="K163"/>
  <c r="J163"/>
  <c r="K162"/>
  <c r="J162"/>
  <c r="K160"/>
  <c r="J160"/>
  <c r="K159"/>
  <c r="J159"/>
  <c r="K158"/>
  <c r="J158"/>
  <c r="K157"/>
  <c r="J157"/>
  <c r="K156"/>
  <c r="J156"/>
  <c r="K155"/>
  <c r="J155"/>
  <c r="K154"/>
  <c r="J154"/>
  <c r="K152"/>
  <c r="J152"/>
  <c r="K151"/>
  <c r="J151"/>
  <c r="K150"/>
  <c r="J150"/>
  <c r="K149"/>
  <c r="J149"/>
  <c r="K148"/>
  <c r="J148"/>
  <c r="K147"/>
  <c r="J147"/>
  <c r="K146"/>
  <c r="J146"/>
  <c r="K144"/>
  <c r="J144"/>
  <c r="K143"/>
  <c r="J143"/>
  <c r="K142"/>
  <c r="J142"/>
  <c r="K141"/>
  <c r="J141"/>
  <c r="K140"/>
  <c r="J140"/>
  <c r="K139"/>
  <c r="J139"/>
  <c r="K138"/>
  <c r="J138"/>
  <c r="K136"/>
  <c r="J136"/>
  <c r="K135"/>
  <c r="J135"/>
  <c r="K134"/>
  <c r="J134"/>
  <c r="K133"/>
  <c r="J133"/>
  <c r="K132"/>
  <c r="J132"/>
  <c r="K131"/>
  <c r="J131"/>
  <c r="K130"/>
  <c r="J130"/>
  <c r="K128"/>
  <c r="J128"/>
  <c r="K127"/>
  <c r="J127"/>
  <c r="K126"/>
  <c r="J126"/>
  <c r="K125"/>
  <c r="J125"/>
  <c r="K124"/>
  <c r="J124"/>
  <c r="K123"/>
  <c r="J123"/>
  <c r="K122"/>
  <c r="J122"/>
  <c r="K120"/>
  <c r="J120"/>
  <c r="K119"/>
  <c r="J119"/>
  <c r="K118"/>
  <c r="J118"/>
  <c r="K117"/>
  <c r="J117"/>
  <c r="K116"/>
  <c r="J116"/>
  <c r="K115"/>
  <c r="J115"/>
  <c r="K114"/>
  <c r="J114"/>
  <c r="K112"/>
  <c r="J112"/>
  <c r="K111"/>
  <c r="J111"/>
  <c r="K110"/>
  <c r="J110"/>
  <c r="K109"/>
  <c r="J109"/>
  <c r="K108"/>
  <c r="J108"/>
  <c r="K107"/>
  <c r="J107"/>
  <c r="K106"/>
  <c r="J106"/>
  <c r="K104"/>
  <c r="J104"/>
  <c r="K103"/>
  <c r="J103"/>
  <c r="K102"/>
  <c r="J102"/>
  <c r="K101"/>
  <c r="J101"/>
  <c r="K100"/>
  <c r="J100"/>
  <c r="K99"/>
  <c r="J99"/>
  <c r="K98"/>
  <c r="J98"/>
  <c r="K96"/>
  <c r="J96"/>
  <c r="K95"/>
  <c r="J95"/>
  <c r="K94"/>
  <c r="J94"/>
  <c r="K93"/>
  <c r="J93"/>
  <c r="K92"/>
  <c r="J92"/>
  <c r="K91"/>
  <c r="J91"/>
  <c r="K90"/>
  <c r="J90"/>
  <c r="K88"/>
  <c r="J88"/>
  <c r="K87"/>
  <c r="J87"/>
  <c r="K86"/>
  <c r="J86"/>
  <c r="K85"/>
  <c r="J85"/>
  <c r="K84"/>
  <c r="J84"/>
  <c r="K83"/>
  <c r="J83"/>
  <c r="K82"/>
  <c r="J82"/>
  <c r="K80"/>
  <c r="J80"/>
  <c r="K79"/>
  <c r="J79"/>
  <c r="K78"/>
  <c r="J78"/>
  <c r="K77"/>
  <c r="J77"/>
  <c r="K76"/>
  <c r="J76"/>
  <c r="K75"/>
  <c r="J75"/>
  <c r="K74"/>
  <c r="J74"/>
  <c r="K72"/>
  <c r="J72"/>
  <c r="K71"/>
  <c r="J71"/>
  <c r="K70"/>
  <c r="J70"/>
  <c r="K69"/>
  <c r="J69"/>
  <c r="K68"/>
  <c r="J68"/>
  <c r="K67"/>
  <c r="J67"/>
  <c r="K66"/>
  <c r="J66"/>
  <c r="K64"/>
  <c r="J64"/>
  <c r="K63"/>
  <c r="J63"/>
  <c r="K62"/>
  <c r="J62"/>
  <c r="K61"/>
  <c r="J61"/>
  <c r="K60"/>
  <c r="J60"/>
  <c r="K59"/>
  <c r="J59"/>
  <c r="K58"/>
  <c r="J58"/>
  <c r="K56"/>
  <c r="J56"/>
  <c r="K55"/>
  <c r="J55"/>
  <c r="K54"/>
  <c r="J54"/>
  <c r="K53"/>
  <c r="J53"/>
  <c r="K52"/>
  <c r="J52"/>
  <c r="K51"/>
  <c r="J51"/>
  <c r="K50"/>
  <c r="J50"/>
  <c r="K48"/>
  <c r="J48"/>
  <c r="K47"/>
  <c r="J47"/>
  <c r="K46"/>
  <c r="J46"/>
  <c r="K45"/>
  <c r="J45"/>
  <c r="K44"/>
  <c r="J44"/>
  <c r="K43"/>
  <c r="J43"/>
  <c r="K42"/>
  <c r="J42"/>
  <c r="K40"/>
  <c r="J40"/>
  <c r="K39"/>
  <c r="J39"/>
  <c r="K38"/>
  <c r="J38"/>
  <c r="K37"/>
  <c r="J37"/>
  <c r="K36"/>
  <c r="J36"/>
  <c r="K35"/>
  <c r="J35"/>
  <c r="K34"/>
  <c r="J34"/>
  <c r="K32"/>
  <c r="J32"/>
  <c r="K31"/>
  <c r="J31"/>
  <c r="K30"/>
  <c r="J30"/>
  <c r="K29"/>
  <c r="J29"/>
  <c r="K28"/>
  <c r="J28"/>
  <c r="K27"/>
  <c r="J27"/>
  <c r="K26"/>
  <c r="J26"/>
  <c r="K24"/>
  <c r="J24"/>
  <c r="K23"/>
  <c r="J23"/>
  <c r="K22"/>
  <c r="J22"/>
  <c r="K21"/>
  <c r="J21"/>
  <c r="K20"/>
  <c r="J20"/>
  <c r="K19"/>
  <c r="J19"/>
  <c r="K18"/>
  <c r="J18"/>
  <c r="K16"/>
  <c r="J16"/>
  <c r="K15"/>
  <c r="J15"/>
  <c r="K14"/>
  <c r="J14"/>
  <c r="K13"/>
  <c r="J13"/>
  <c r="K12"/>
  <c r="J12"/>
  <c r="K11"/>
  <c r="J11"/>
  <c r="K10"/>
  <c r="J10"/>
  <c r="K8"/>
  <c r="J8"/>
  <c r="K7"/>
  <c r="J7"/>
  <c r="K6"/>
  <c r="J6"/>
  <c r="K5"/>
  <c r="J5"/>
  <c r="K4"/>
  <c r="J4"/>
  <c r="K3"/>
  <c r="J3"/>
  <c r="K2"/>
  <c r="J2"/>
  <c r="N200"/>
  <c r="M200"/>
  <c r="I200" l="1"/>
  <c r="L200" s="1"/>
  <c r="H200"/>
  <c r="G200"/>
  <c r="F200"/>
  <c r="E200"/>
  <c r="D200"/>
  <c r="C200"/>
  <c r="B200"/>
  <c r="A200"/>
  <c r="N199"/>
  <c r="M199"/>
  <c r="P200" l="1"/>
  <c r="Q200"/>
  <c r="O200"/>
  <c r="H199"/>
  <c r="G199"/>
  <c r="I199" s="1"/>
  <c r="L199" s="1"/>
  <c r="F199"/>
  <c r="E199"/>
  <c r="D199"/>
  <c r="C199"/>
  <c r="B199"/>
  <c r="A199"/>
  <c r="N198"/>
  <c r="M198"/>
  <c r="P199" l="1"/>
  <c r="Q199"/>
  <c r="O199"/>
  <c r="R200"/>
  <c r="I198"/>
  <c r="L198" s="1"/>
  <c r="H198"/>
  <c r="G198"/>
  <c r="F198"/>
  <c r="E198"/>
  <c r="D198"/>
  <c r="C198"/>
  <c r="B198"/>
  <c r="A198"/>
  <c r="N197"/>
  <c r="M197"/>
  <c r="P198" l="1"/>
  <c r="Q198"/>
  <c r="O198"/>
  <c r="R199"/>
  <c r="I197"/>
  <c r="L197" s="1"/>
  <c r="H197"/>
  <c r="G197"/>
  <c r="F197"/>
  <c r="E197"/>
  <c r="D197"/>
  <c r="C197"/>
  <c r="B197"/>
  <c r="A197"/>
  <c r="N196"/>
  <c r="M196"/>
  <c r="O197" l="1"/>
  <c r="P197" s="1"/>
  <c r="R198"/>
  <c r="H196"/>
  <c r="G196"/>
  <c r="I196" s="1"/>
  <c r="F196"/>
  <c r="E196"/>
  <c r="D196"/>
  <c r="C196"/>
  <c r="B196"/>
  <c r="A196"/>
  <c r="N195"/>
  <c r="M195"/>
  <c r="L196" l="1"/>
  <c r="Q197"/>
  <c r="R197" s="1"/>
  <c r="I195"/>
  <c r="L195" s="1"/>
  <c r="H195"/>
  <c r="G195"/>
  <c r="F195"/>
  <c r="E195"/>
  <c r="D195"/>
  <c r="C195"/>
  <c r="B195"/>
  <c r="A195"/>
  <c r="N194"/>
  <c r="M194"/>
  <c r="Q195" l="1"/>
  <c r="R195" s="1"/>
  <c r="P195"/>
  <c r="O195"/>
  <c r="P196"/>
  <c r="Q196"/>
  <c r="O196"/>
  <c r="H194"/>
  <c r="G194"/>
  <c r="I194" s="1"/>
  <c r="F194"/>
  <c r="E194"/>
  <c r="D194"/>
  <c r="C194"/>
  <c r="B194"/>
  <c r="A194"/>
  <c r="L194" l="1"/>
  <c r="R196"/>
  <c r="N192"/>
  <c r="M192"/>
  <c r="P194" l="1"/>
  <c r="Q194"/>
  <c r="O194"/>
  <c r="H192"/>
  <c r="G192"/>
  <c r="I192" s="1"/>
  <c r="F192"/>
  <c r="E192"/>
  <c r="D192"/>
  <c r="C192"/>
  <c r="B192"/>
  <c r="A192"/>
  <c r="N191"/>
  <c r="M191"/>
  <c r="L192" l="1"/>
  <c r="R194"/>
  <c r="I191"/>
  <c r="L191" s="1"/>
  <c r="H191"/>
  <c r="G191"/>
  <c r="F191"/>
  <c r="E191"/>
  <c r="D191"/>
  <c r="C191"/>
  <c r="B191"/>
  <c r="A191"/>
  <c r="N190"/>
  <c r="M190"/>
  <c r="P191" l="1"/>
  <c r="Q191"/>
  <c r="O191"/>
  <c r="P192"/>
  <c r="Q192"/>
  <c r="O192"/>
  <c r="H190"/>
  <c r="G190"/>
  <c r="I190" s="1"/>
  <c r="F190"/>
  <c r="E190"/>
  <c r="D190"/>
  <c r="C190"/>
  <c r="B190"/>
  <c r="A190"/>
  <c r="N189"/>
  <c r="M189"/>
  <c r="L190" l="1"/>
  <c r="R192"/>
  <c r="R191"/>
  <c r="I189"/>
  <c r="L189" s="1"/>
  <c r="H189"/>
  <c r="G189"/>
  <c r="F189"/>
  <c r="E189"/>
  <c r="D189"/>
  <c r="C189"/>
  <c r="B189"/>
  <c r="A189"/>
  <c r="N188"/>
  <c r="M188"/>
  <c r="P189" l="1"/>
  <c r="Q189"/>
  <c r="O189"/>
  <c r="Q190"/>
  <c r="R190" s="1"/>
  <c r="P190"/>
  <c r="O190"/>
  <c r="H188"/>
  <c r="G188"/>
  <c r="I188" s="1"/>
  <c r="F188"/>
  <c r="E188"/>
  <c r="D188"/>
  <c r="C188"/>
  <c r="B188"/>
  <c r="A188"/>
  <c r="N187"/>
  <c r="M187"/>
  <c r="L188" l="1"/>
  <c r="R189"/>
  <c r="I187"/>
  <c r="L187" s="1"/>
  <c r="H187"/>
  <c r="G187"/>
  <c r="F187"/>
  <c r="E187"/>
  <c r="D187"/>
  <c r="C187"/>
  <c r="B187"/>
  <c r="A187"/>
  <c r="N186"/>
  <c r="M186"/>
  <c r="Q187" l="1"/>
  <c r="O187"/>
  <c r="P187" s="1"/>
  <c r="O188"/>
  <c r="P188" s="1"/>
  <c r="I186"/>
  <c r="L186" s="1"/>
  <c r="H186"/>
  <c r="G186"/>
  <c r="F186"/>
  <c r="E186"/>
  <c r="D186"/>
  <c r="C186"/>
  <c r="B186"/>
  <c r="A186"/>
  <c r="P186" l="1"/>
  <c r="O186"/>
  <c r="Q186" s="1"/>
  <c r="R186" s="1"/>
  <c r="R187"/>
  <c r="Q188"/>
  <c r="R188" s="1"/>
  <c r="N184"/>
  <c r="M184"/>
  <c r="I184" l="1"/>
  <c r="L184" s="1"/>
  <c r="H184"/>
  <c r="G184"/>
  <c r="F184"/>
  <c r="E184"/>
  <c r="D184"/>
  <c r="C184"/>
  <c r="B184"/>
  <c r="A184"/>
  <c r="N183"/>
  <c r="M183"/>
  <c r="O184" l="1"/>
  <c r="P184" s="1"/>
  <c r="I183"/>
  <c r="L183" s="1"/>
  <c r="H183"/>
  <c r="G183"/>
  <c r="F183"/>
  <c r="E183"/>
  <c r="D183"/>
  <c r="C183"/>
  <c r="B183"/>
  <c r="A183"/>
  <c r="N182"/>
  <c r="M182"/>
  <c r="O183" l="1"/>
  <c r="P183" s="1"/>
  <c r="Q184"/>
  <c r="R184" s="1"/>
  <c r="I182"/>
  <c r="L182" s="1"/>
  <c r="H182"/>
  <c r="G182"/>
  <c r="F182"/>
  <c r="E182"/>
  <c r="D182"/>
  <c r="C182"/>
  <c r="B182"/>
  <c r="A182"/>
  <c r="N181"/>
  <c r="M181"/>
  <c r="O182" l="1"/>
  <c r="P182" s="1"/>
  <c r="Q183"/>
  <c r="R183" s="1"/>
  <c r="I181"/>
  <c r="L181" s="1"/>
  <c r="H181"/>
  <c r="G181"/>
  <c r="F181"/>
  <c r="E181"/>
  <c r="D181"/>
  <c r="C181"/>
  <c r="B181"/>
  <c r="A181"/>
  <c r="N180"/>
  <c r="M180"/>
  <c r="P181" l="1"/>
  <c r="O181"/>
  <c r="Q181" s="1"/>
  <c r="R181" s="1"/>
  <c r="Q182"/>
  <c r="R182" s="1"/>
  <c r="H180"/>
  <c r="G180"/>
  <c r="I180" s="1"/>
  <c r="F180"/>
  <c r="E180"/>
  <c r="D180"/>
  <c r="C180"/>
  <c r="B180"/>
  <c r="A180"/>
  <c r="N179"/>
  <c r="M179"/>
  <c r="L180" l="1"/>
  <c r="I179"/>
  <c r="L179" s="1"/>
  <c r="H179"/>
  <c r="G179"/>
  <c r="F179"/>
  <c r="E179"/>
  <c r="D179"/>
  <c r="C179"/>
  <c r="B179"/>
  <c r="A179"/>
  <c r="N178"/>
  <c r="M178"/>
  <c r="P179" l="1"/>
  <c r="O179"/>
  <c r="Q179" s="1"/>
  <c r="R179" s="1"/>
  <c r="Q180"/>
  <c r="R180" s="1"/>
  <c r="P180"/>
  <c r="O180"/>
  <c r="H178"/>
  <c r="G178"/>
  <c r="I178" s="1"/>
  <c r="F178"/>
  <c r="E178"/>
  <c r="D178"/>
  <c r="C178"/>
  <c r="B178"/>
  <c r="A178"/>
  <c r="L178" l="1"/>
  <c r="N176"/>
  <c r="M176"/>
  <c r="Q178" l="1"/>
  <c r="O178"/>
  <c r="P178" s="1"/>
  <c r="I176"/>
  <c r="L176" s="1"/>
  <c r="H176"/>
  <c r="G176"/>
  <c r="F176"/>
  <c r="E176"/>
  <c r="D176"/>
  <c r="C176"/>
  <c r="B176"/>
  <c r="A176"/>
  <c r="N175"/>
  <c r="M175"/>
  <c r="Q176" l="1"/>
  <c r="O176"/>
  <c r="P176" s="1"/>
  <c r="R178"/>
  <c r="H175"/>
  <c r="G175"/>
  <c r="I175" s="1"/>
  <c r="L175" s="1"/>
  <c r="F175"/>
  <c r="E175"/>
  <c r="D175"/>
  <c r="C175"/>
  <c r="B175"/>
  <c r="A175"/>
  <c r="N174"/>
  <c r="M174"/>
  <c r="P175" l="1"/>
  <c r="O175"/>
  <c r="Q175" s="1"/>
  <c r="R175" s="1"/>
  <c r="R176"/>
  <c r="H174"/>
  <c r="G174"/>
  <c r="I174" s="1"/>
  <c r="L174" s="1"/>
  <c r="F174"/>
  <c r="E174"/>
  <c r="D174"/>
  <c r="C174"/>
  <c r="B174"/>
  <c r="A174"/>
  <c r="N173"/>
  <c r="M173"/>
  <c r="Q174" l="1"/>
  <c r="O174"/>
  <c r="P174" s="1"/>
  <c r="H173"/>
  <c r="G173"/>
  <c r="I173" s="1"/>
  <c r="F173"/>
  <c r="E173"/>
  <c r="D173"/>
  <c r="C173"/>
  <c r="B173"/>
  <c r="A173"/>
  <c r="N172"/>
  <c r="M172"/>
  <c r="L173" l="1"/>
  <c r="R174"/>
  <c r="H172"/>
  <c r="G172"/>
  <c r="I172" s="1"/>
  <c r="F172"/>
  <c r="E172"/>
  <c r="D172"/>
  <c r="C172"/>
  <c r="B172"/>
  <c r="A172"/>
  <c r="N171"/>
  <c r="M171"/>
  <c r="L172" l="1"/>
  <c r="O173"/>
  <c r="Q173" s="1"/>
  <c r="I171"/>
  <c r="L171" s="1"/>
  <c r="H171"/>
  <c r="G171"/>
  <c r="F171"/>
  <c r="E171"/>
  <c r="D171"/>
  <c r="C171"/>
  <c r="B171"/>
  <c r="A171"/>
  <c r="N170"/>
  <c r="M170"/>
  <c r="O171" l="1"/>
  <c r="Q171" s="1"/>
  <c r="O172"/>
  <c r="Q172" s="1"/>
  <c r="P173"/>
  <c r="R173" s="1"/>
  <c r="H170"/>
  <c r="G170"/>
  <c r="I170" s="1"/>
  <c r="F170"/>
  <c r="E170"/>
  <c r="D170"/>
  <c r="C170"/>
  <c r="B170"/>
  <c r="A170"/>
  <c r="L170" l="1"/>
  <c r="R172"/>
  <c r="P172"/>
  <c r="P171"/>
  <c r="R171" s="1"/>
  <c r="N168"/>
  <c r="M168"/>
  <c r="P170" l="1"/>
  <c r="Q170"/>
  <c r="O170"/>
  <c r="H168"/>
  <c r="G168"/>
  <c r="I168" s="1"/>
  <c r="L168" s="1"/>
  <c r="F168"/>
  <c r="E168"/>
  <c r="D168"/>
  <c r="C168"/>
  <c r="B168"/>
  <c r="A168"/>
  <c r="N167"/>
  <c r="M167"/>
  <c r="P168" l="1"/>
  <c r="O168"/>
  <c r="Q168" s="1"/>
  <c r="R168" s="1"/>
  <c r="R170"/>
  <c r="H167"/>
  <c r="G167"/>
  <c r="I167" s="1"/>
  <c r="F167"/>
  <c r="E167"/>
  <c r="D167"/>
  <c r="C167"/>
  <c r="B167"/>
  <c r="A167"/>
  <c r="N166"/>
  <c r="M166"/>
  <c r="L167" l="1"/>
  <c r="I166"/>
  <c r="L166" s="1"/>
  <c r="H166"/>
  <c r="G166"/>
  <c r="F166"/>
  <c r="E166"/>
  <c r="D166"/>
  <c r="C166"/>
  <c r="B166"/>
  <c r="A166"/>
  <c r="N165"/>
  <c r="M165"/>
  <c r="P166" l="1"/>
  <c r="O166"/>
  <c r="Q166" s="1"/>
  <c r="R166" s="1"/>
  <c r="P167"/>
  <c r="Q167"/>
  <c r="O167"/>
  <c r="H165"/>
  <c r="G165"/>
  <c r="I165" s="1"/>
  <c r="F165"/>
  <c r="E165"/>
  <c r="D165"/>
  <c r="C165"/>
  <c r="B165"/>
  <c r="A165"/>
  <c r="N164"/>
  <c r="M164"/>
  <c r="L165" l="1"/>
  <c r="R167"/>
  <c r="I164"/>
  <c r="L164" s="1"/>
  <c r="H164"/>
  <c r="G164"/>
  <c r="F164"/>
  <c r="E164"/>
  <c r="D164"/>
  <c r="C164"/>
  <c r="B164"/>
  <c r="A164"/>
  <c r="N163"/>
  <c r="M163"/>
  <c r="Q164" l="1"/>
  <c r="O164"/>
  <c r="P164" s="1"/>
  <c r="O165"/>
  <c r="Q165" s="1"/>
  <c r="I163"/>
  <c r="L163" s="1"/>
  <c r="H163"/>
  <c r="G163"/>
  <c r="F163"/>
  <c r="E163"/>
  <c r="D163"/>
  <c r="C163"/>
  <c r="B163"/>
  <c r="A163"/>
  <c r="N162"/>
  <c r="M162"/>
  <c r="O163" l="1"/>
  <c r="P163" s="1"/>
  <c r="R165"/>
  <c r="R164"/>
  <c r="P165"/>
  <c r="H162"/>
  <c r="G162"/>
  <c r="I162" s="1"/>
  <c r="L162" s="1"/>
  <c r="F162"/>
  <c r="E162"/>
  <c r="D162"/>
  <c r="C162"/>
  <c r="B162"/>
  <c r="A162"/>
  <c r="O162" l="1"/>
  <c r="Q162" s="1"/>
  <c r="Q163"/>
  <c r="R163" s="1"/>
  <c r="N160"/>
  <c r="M160"/>
  <c r="P162" l="1"/>
  <c r="R162" s="1"/>
  <c r="H160"/>
  <c r="G160"/>
  <c r="I160" s="1"/>
  <c r="F160"/>
  <c r="E160"/>
  <c r="D160"/>
  <c r="C160"/>
  <c r="B160"/>
  <c r="A160"/>
  <c r="N159"/>
  <c r="M159"/>
  <c r="L160" l="1"/>
  <c r="H159"/>
  <c r="G159"/>
  <c r="I159" s="1"/>
  <c r="F159"/>
  <c r="E159"/>
  <c r="D159"/>
  <c r="C159"/>
  <c r="B159"/>
  <c r="A159"/>
  <c r="N158"/>
  <c r="M158"/>
  <c r="L159" l="1"/>
  <c r="P160"/>
  <c r="Q160"/>
  <c r="O160"/>
  <c r="H158"/>
  <c r="G158"/>
  <c r="I158" s="1"/>
  <c r="L158" s="1"/>
  <c r="F158"/>
  <c r="E158"/>
  <c r="D158"/>
  <c r="C158"/>
  <c r="B158"/>
  <c r="A158"/>
  <c r="N157"/>
  <c r="M157"/>
  <c r="O158" l="1"/>
  <c r="P158" s="1"/>
  <c r="O159"/>
  <c r="Q159" s="1"/>
  <c r="R160"/>
  <c r="H157"/>
  <c r="G157"/>
  <c r="I157" s="1"/>
  <c r="F157"/>
  <c r="E157"/>
  <c r="D157"/>
  <c r="C157"/>
  <c r="B157"/>
  <c r="A157"/>
  <c r="N156"/>
  <c r="M156"/>
  <c r="L157" l="1"/>
  <c r="R159"/>
  <c r="P159"/>
  <c r="Q158"/>
  <c r="R158" s="1"/>
  <c r="H156"/>
  <c r="G156"/>
  <c r="I156" s="1"/>
  <c r="L156" s="1"/>
  <c r="F156"/>
  <c r="E156"/>
  <c r="D156"/>
  <c r="C156"/>
  <c r="B156"/>
  <c r="A156"/>
  <c r="N155"/>
  <c r="M155"/>
  <c r="O156" l="1"/>
  <c r="P156" s="1"/>
  <c r="O157"/>
  <c r="Q157" s="1"/>
  <c r="H155"/>
  <c r="G155"/>
  <c r="I155" s="1"/>
  <c r="L155" s="1"/>
  <c r="F155"/>
  <c r="E155"/>
  <c r="D155"/>
  <c r="C155"/>
  <c r="B155"/>
  <c r="A155"/>
  <c r="N154"/>
  <c r="M154"/>
  <c r="Q155" l="1"/>
  <c r="O155"/>
  <c r="P155" s="1"/>
  <c r="Q156"/>
  <c r="R156" s="1"/>
  <c r="P157"/>
  <c r="R157" s="1"/>
  <c r="I154"/>
  <c r="L154" s="1"/>
  <c r="H154"/>
  <c r="G154"/>
  <c r="F154"/>
  <c r="E154"/>
  <c r="D154"/>
  <c r="C154"/>
  <c r="B154"/>
  <c r="A154"/>
  <c r="O154" l="1"/>
  <c r="Q154" s="1"/>
  <c r="R155"/>
  <c r="N152"/>
  <c r="M152"/>
  <c r="P154" l="1"/>
  <c r="R154" s="1"/>
  <c r="H152"/>
  <c r="G152"/>
  <c r="I152" s="1"/>
  <c r="F152"/>
  <c r="E152"/>
  <c r="D152"/>
  <c r="C152"/>
  <c r="B152"/>
  <c r="A152"/>
  <c r="N151"/>
  <c r="M151"/>
  <c r="L152" l="1"/>
  <c r="I151"/>
  <c r="L151" s="1"/>
  <c r="H151"/>
  <c r="G151"/>
  <c r="F151"/>
  <c r="E151"/>
  <c r="D151"/>
  <c r="C151"/>
  <c r="B151"/>
  <c r="A151"/>
  <c r="N150"/>
  <c r="M150"/>
  <c r="O151" l="1"/>
  <c r="Q151" s="1"/>
  <c r="Q152"/>
  <c r="O152"/>
  <c r="P152" s="1"/>
  <c r="H150"/>
  <c r="G150"/>
  <c r="I150" s="1"/>
  <c r="L150" s="1"/>
  <c r="F150"/>
  <c r="E150"/>
  <c r="D150"/>
  <c r="C150"/>
  <c r="B150"/>
  <c r="A150"/>
  <c r="N149"/>
  <c r="M149"/>
  <c r="O150" l="1"/>
  <c r="Q150" s="1"/>
  <c r="R151"/>
  <c r="P151"/>
  <c r="R152"/>
  <c r="I149"/>
  <c r="L149" s="1"/>
  <c r="H149"/>
  <c r="G149"/>
  <c r="F149"/>
  <c r="E149"/>
  <c r="D149"/>
  <c r="C149"/>
  <c r="B149"/>
  <c r="A149"/>
  <c r="N148"/>
  <c r="M148"/>
  <c r="O149" l="1"/>
  <c r="P149" s="1"/>
  <c r="P150"/>
  <c r="R150" s="1"/>
  <c r="I148"/>
  <c r="L148" s="1"/>
  <c r="H148"/>
  <c r="G148"/>
  <c r="F148"/>
  <c r="E148"/>
  <c r="D148"/>
  <c r="C148"/>
  <c r="B148"/>
  <c r="A148"/>
  <c r="N147"/>
  <c r="M147"/>
  <c r="O148" l="1"/>
  <c r="Q148" s="1"/>
  <c r="Q149"/>
  <c r="R149" s="1"/>
  <c r="I147"/>
  <c r="L147" s="1"/>
  <c r="H147"/>
  <c r="G147"/>
  <c r="F147"/>
  <c r="E147"/>
  <c r="D147"/>
  <c r="C147"/>
  <c r="B147"/>
  <c r="A147"/>
  <c r="N146"/>
  <c r="M146"/>
  <c r="O147" l="1"/>
  <c r="Q147" s="1"/>
  <c r="R148"/>
  <c r="P148"/>
  <c r="H146"/>
  <c r="G146"/>
  <c r="I146" s="1"/>
  <c r="F146"/>
  <c r="E146"/>
  <c r="D146"/>
  <c r="C146"/>
  <c r="B146"/>
  <c r="A146"/>
  <c r="L146" l="1"/>
  <c r="P147"/>
  <c r="R147" s="1"/>
  <c r="N144"/>
  <c r="M144"/>
  <c r="Q146" l="1"/>
  <c r="O146"/>
  <c r="P146" s="1"/>
  <c r="H144"/>
  <c r="G144"/>
  <c r="I144" s="1"/>
  <c r="L144" s="1"/>
  <c r="F144"/>
  <c r="E144"/>
  <c r="D144"/>
  <c r="C144"/>
  <c r="B144"/>
  <c r="A144"/>
  <c r="N143"/>
  <c r="M143"/>
  <c r="O144" l="1"/>
  <c r="Q144" s="1"/>
  <c r="R146"/>
  <c r="I143"/>
  <c r="L143" s="1"/>
  <c r="H143"/>
  <c r="G143"/>
  <c r="F143"/>
  <c r="E143"/>
  <c r="D143"/>
  <c r="C143"/>
  <c r="B143"/>
  <c r="A143"/>
  <c r="N142"/>
  <c r="M142"/>
  <c r="O143" l="1"/>
  <c r="P143" s="1"/>
  <c r="R144"/>
  <c r="P144"/>
  <c r="H142"/>
  <c r="G142"/>
  <c r="I142" s="1"/>
  <c r="L142" s="1"/>
  <c r="F142"/>
  <c r="E142"/>
  <c r="D142"/>
  <c r="C142"/>
  <c r="B142"/>
  <c r="A142"/>
  <c r="N141"/>
  <c r="M141"/>
  <c r="O142" l="1"/>
  <c r="Q142" s="1"/>
  <c r="Q143"/>
  <c r="R143" s="1"/>
  <c r="H141"/>
  <c r="G141"/>
  <c r="I141" s="1"/>
  <c r="F141"/>
  <c r="E141"/>
  <c r="D141"/>
  <c r="C141"/>
  <c r="B141"/>
  <c r="A141"/>
  <c r="N140"/>
  <c r="M140"/>
  <c r="L141" l="1"/>
  <c r="R142"/>
  <c r="P142"/>
  <c r="H140"/>
  <c r="G140"/>
  <c r="I140" s="1"/>
  <c r="F140"/>
  <c r="E140"/>
  <c r="D140"/>
  <c r="C140"/>
  <c r="B140"/>
  <c r="A140"/>
  <c r="N139"/>
  <c r="M139"/>
  <c r="L140" l="1"/>
  <c r="P141"/>
  <c r="Q141"/>
  <c r="O141"/>
  <c r="H139"/>
  <c r="G139"/>
  <c r="I139" s="1"/>
  <c r="F139"/>
  <c r="E139"/>
  <c r="D139"/>
  <c r="C139"/>
  <c r="B139"/>
  <c r="A139"/>
  <c r="N138"/>
  <c r="M138"/>
  <c r="L139" l="1"/>
  <c r="P140"/>
  <c r="Q140"/>
  <c r="O140"/>
  <c r="R141"/>
  <c r="H138"/>
  <c r="G138"/>
  <c r="I138" s="1"/>
  <c r="L138" s="1"/>
  <c r="F138"/>
  <c r="E138"/>
  <c r="D138"/>
  <c r="C138"/>
  <c r="B138"/>
  <c r="A138"/>
  <c r="P138" l="1"/>
  <c r="O138"/>
  <c r="Q138" s="1"/>
  <c r="R138" s="1"/>
  <c r="R140"/>
  <c r="Q139"/>
  <c r="O139"/>
  <c r="P139" s="1"/>
  <c r="N136"/>
  <c r="M136"/>
  <c r="R139" l="1"/>
  <c r="I136"/>
  <c r="L136" s="1"/>
  <c r="H136"/>
  <c r="G136"/>
  <c r="F136"/>
  <c r="E136"/>
  <c r="D136"/>
  <c r="C136"/>
  <c r="B136"/>
  <c r="A136"/>
  <c r="N135"/>
  <c r="M135"/>
  <c r="Q136" l="1"/>
  <c r="O136"/>
  <c r="P136" s="1"/>
  <c r="H135"/>
  <c r="G135"/>
  <c r="I135" s="1"/>
  <c r="F135"/>
  <c r="E135"/>
  <c r="D135"/>
  <c r="C135"/>
  <c r="B135"/>
  <c r="A135"/>
  <c r="N134"/>
  <c r="M134"/>
  <c r="L135" l="1"/>
  <c r="R136"/>
  <c r="I134"/>
  <c r="L134" s="1"/>
  <c r="H134"/>
  <c r="G134"/>
  <c r="F134"/>
  <c r="E134"/>
  <c r="D134"/>
  <c r="C134"/>
  <c r="B134"/>
  <c r="A134"/>
  <c r="N133"/>
  <c r="M133"/>
  <c r="O134" l="1"/>
  <c r="Q134" s="1"/>
  <c r="Q135"/>
  <c r="O135"/>
  <c r="P135" s="1"/>
  <c r="H133"/>
  <c r="G133"/>
  <c r="I133" s="1"/>
  <c r="L133" s="1"/>
  <c r="F133"/>
  <c r="E133"/>
  <c r="D133"/>
  <c r="C133"/>
  <c r="B133"/>
  <c r="A133"/>
  <c r="N132"/>
  <c r="M132"/>
  <c r="O133" l="1"/>
  <c r="P133" s="1"/>
  <c r="R135"/>
  <c r="P134"/>
  <c r="R134" s="1"/>
  <c r="I132"/>
  <c r="L132" s="1"/>
  <c r="H132"/>
  <c r="G132"/>
  <c r="F132"/>
  <c r="E132"/>
  <c r="D132"/>
  <c r="C132"/>
  <c r="B132"/>
  <c r="A132"/>
  <c r="N131"/>
  <c r="M131"/>
  <c r="O132" l="1"/>
  <c r="P132" s="1"/>
  <c r="Q133"/>
  <c r="R133" s="1"/>
  <c r="I131"/>
  <c r="L131" s="1"/>
  <c r="H131"/>
  <c r="G131"/>
  <c r="F131"/>
  <c r="E131"/>
  <c r="D131"/>
  <c r="C131"/>
  <c r="B131"/>
  <c r="A131"/>
  <c r="N130"/>
  <c r="M130"/>
  <c r="O131" l="1"/>
  <c r="Q131" s="1"/>
  <c r="Q132"/>
  <c r="R132" s="1"/>
  <c r="I130"/>
  <c r="L130" s="1"/>
  <c r="H130"/>
  <c r="G130"/>
  <c r="F130"/>
  <c r="E130"/>
  <c r="D130"/>
  <c r="C130"/>
  <c r="B130"/>
  <c r="A130"/>
  <c r="P130" l="1"/>
  <c r="O130"/>
  <c r="Q130" s="1"/>
  <c r="R130" s="1"/>
  <c r="P131"/>
  <c r="R131" s="1"/>
  <c r="N128"/>
  <c r="M128"/>
  <c r="H128" l="1"/>
  <c r="G128"/>
  <c r="I128" s="1"/>
  <c r="L128" s="1"/>
  <c r="F128"/>
  <c r="E128"/>
  <c r="D128"/>
  <c r="C128"/>
  <c r="B128"/>
  <c r="A128"/>
  <c r="N127"/>
  <c r="M127"/>
  <c r="O128" l="1"/>
  <c r="Q128" s="1"/>
  <c r="I127"/>
  <c r="L127" s="1"/>
  <c r="H127"/>
  <c r="G127"/>
  <c r="F127"/>
  <c r="E127"/>
  <c r="D127"/>
  <c r="C127"/>
  <c r="B127"/>
  <c r="A127"/>
  <c r="N126"/>
  <c r="M126"/>
  <c r="Q127" l="1"/>
  <c r="O127"/>
  <c r="P127" s="1"/>
  <c r="P128"/>
  <c r="R128" s="1"/>
  <c r="I126"/>
  <c r="L126" s="1"/>
  <c r="H126"/>
  <c r="G126"/>
  <c r="F126"/>
  <c r="E126"/>
  <c r="D126"/>
  <c r="C126"/>
  <c r="B126"/>
  <c r="A126"/>
  <c r="N125"/>
  <c r="M125"/>
  <c r="O126" l="1"/>
  <c r="P126" s="1"/>
  <c r="R127"/>
  <c r="I125"/>
  <c r="L125" s="1"/>
  <c r="H125"/>
  <c r="G125"/>
  <c r="F125"/>
  <c r="E125"/>
  <c r="D125"/>
  <c r="C125"/>
  <c r="B125"/>
  <c r="A125"/>
  <c r="N124"/>
  <c r="M124"/>
  <c r="O125" l="1"/>
  <c r="P125" s="1"/>
  <c r="Q126"/>
  <c r="R126" s="1"/>
  <c r="I124"/>
  <c r="L124" s="1"/>
  <c r="H124"/>
  <c r="G124"/>
  <c r="F124"/>
  <c r="E124"/>
  <c r="D124"/>
  <c r="C124"/>
  <c r="B124"/>
  <c r="A124"/>
  <c r="N123"/>
  <c r="M123"/>
  <c r="O124" l="1"/>
  <c r="P124" s="1"/>
  <c r="Q125"/>
  <c r="R125" s="1"/>
  <c r="I123"/>
  <c r="L123" s="1"/>
  <c r="H123"/>
  <c r="G123"/>
  <c r="F123"/>
  <c r="E123"/>
  <c r="D123"/>
  <c r="C123"/>
  <c r="B123"/>
  <c r="A123"/>
  <c r="N122"/>
  <c r="M122"/>
  <c r="O123" l="1"/>
  <c r="P123" s="1"/>
  <c r="Q124"/>
  <c r="R124" s="1"/>
  <c r="I122"/>
  <c r="L122" s="1"/>
  <c r="H122"/>
  <c r="G122"/>
  <c r="F122"/>
  <c r="E122"/>
  <c r="D122"/>
  <c r="C122"/>
  <c r="B122"/>
  <c r="A122"/>
  <c r="O122" l="1"/>
  <c r="P122" s="1"/>
  <c r="Q123"/>
  <c r="R123" s="1"/>
  <c r="N120"/>
  <c r="M120"/>
  <c r="Q122" l="1"/>
  <c r="R122" s="1"/>
  <c r="I120"/>
  <c r="L120" s="1"/>
  <c r="H120"/>
  <c r="G120"/>
  <c r="F120"/>
  <c r="E120"/>
  <c r="D120"/>
  <c r="C120"/>
  <c r="B120"/>
  <c r="A120"/>
  <c r="N119"/>
  <c r="M119"/>
  <c r="O120" l="1"/>
  <c r="P120" s="1"/>
  <c r="I119"/>
  <c r="L119" s="1"/>
  <c r="H119"/>
  <c r="G119"/>
  <c r="F119"/>
  <c r="E119"/>
  <c r="D119"/>
  <c r="C119"/>
  <c r="B119"/>
  <c r="A119"/>
  <c r="N118"/>
  <c r="M118"/>
  <c r="Q119" l="1"/>
  <c r="O119"/>
  <c r="P119" s="1"/>
  <c r="Q120"/>
  <c r="R120" s="1"/>
  <c r="I118"/>
  <c r="L118" s="1"/>
  <c r="H118"/>
  <c r="G118"/>
  <c r="F118"/>
  <c r="E118"/>
  <c r="D118"/>
  <c r="C118"/>
  <c r="B118"/>
  <c r="A118"/>
  <c r="N117"/>
  <c r="M117"/>
  <c r="O118" l="1"/>
  <c r="P118" s="1"/>
  <c r="R119"/>
  <c r="I117"/>
  <c r="L117" s="1"/>
  <c r="H117"/>
  <c r="G117"/>
  <c r="F117"/>
  <c r="E117"/>
  <c r="D117"/>
  <c r="C117"/>
  <c r="B117"/>
  <c r="A117"/>
  <c r="N116"/>
  <c r="M116"/>
  <c r="O117" l="1"/>
  <c r="P117" s="1"/>
  <c r="Q118"/>
  <c r="R118" s="1"/>
  <c r="I116"/>
  <c r="L116" s="1"/>
  <c r="H116"/>
  <c r="G116"/>
  <c r="F116"/>
  <c r="E116"/>
  <c r="D116"/>
  <c r="C116"/>
  <c r="B116"/>
  <c r="A116"/>
  <c r="N115"/>
  <c r="M115"/>
  <c r="O116" l="1"/>
  <c r="P116" s="1"/>
  <c r="Q117"/>
  <c r="R117" s="1"/>
  <c r="I115"/>
  <c r="L115" s="1"/>
  <c r="H115"/>
  <c r="G115"/>
  <c r="F115"/>
  <c r="E115"/>
  <c r="D115"/>
  <c r="C115"/>
  <c r="B115"/>
  <c r="A115"/>
  <c r="N114"/>
  <c r="M114"/>
  <c r="O115" l="1"/>
  <c r="P115" s="1"/>
  <c r="Q116"/>
  <c r="R116" s="1"/>
  <c r="I114"/>
  <c r="L114" s="1"/>
  <c r="H114"/>
  <c r="G114"/>
  <c r="F114"/>
  <c r="E114"/>
  <c r="D114"/>
  <c r="C114"/>
  <c r="B114"/>
  <c r="A114"/>
  <c r="Q114" l="1"/>
  <c r="O114"/>
  <c r="P114" s="1"/>
  <c r="Q115"/>
  <c r="R115" s="1"/>
  <c r="N112"/>
  <c r="M112"/>
  <c r="R114" l="1"/>
  <c r="I112"/>
  <c r="L112" s="1"/>
  <c r="H112"/>
  <c r="G112"/>
  <c r="F112"/>
  <c r="E112"/>
  <c r="D112"/>
  <c r="C112"/>
  <c r="B112"/>
  <c r="A112"/>
  <c r="N111"/>
  <c r="M111"/>
  <c r="O112" l="1"/>
  <c r="P112" s="1"/>
  <c r="I111"/>
  <c r="L111" s="1"/>
  <c r="H111"/>
  <c r="G111"/>
  <c r="F111"/>
  <c r="E111"/>
  <c r="D111"/>
  <c r="C111"/>
  <c r="B111"/>
  <c r="A111"/>
  <c r="N110"/>
  <c r="M110"/>
  <c r="Q111" l="1"/>
  <c r="O111"/>
  <c r="P111" s="1"/>
  <c r="Q112"/>
  <c r="R112" s="1"/>
  <c r="I110"/>
  <c r="L110" s="1"/>
  <c r="H110"/>
  <c r="G110"/>
  <c r="F110"/>
  <c r="E110"/>
  <c r="D110"/>
  <c r="C110"/>
  <c r="B110"/>
  <c r="A110"/>
  <c r="N109"/>
  <c r="M109"/>
  <c r="O110" l="1"/>
  <c r="P110" s="1"/>
  <c r="R111"/>
  <c r="I109"/>
  <c r="L109" s="1"/>
  <c r="H109"/>
  <c r="G109"/>
  <c r="F109"/>
  <c r="E109"/>
  <c r="D109"/>
  <c r="C109"/>
  <c r="B109"/>
  <c r="A109"/>
  <c r="N108"/>
  <c r="M108"/>
  <c r="O109" l="1"/>
  <c r="P109" s="1"/>
  <c r="Q110"/>
  <c r="R110" s="1"/>
  <c r="I108"/>
  <c r="L108" s="1"/>
  <c r="H108"/>
  <c r="G108"/>
  <c r="F108"/>
  <c r="E108"/>
  <c r="D108"/>
  <c r="C108"/>
  <c r="B108"/>
  <c r="A108"/>
  <c r="N107"/>
  <c r="M107"/>
  <c r="O108" l="1"/>
  <c r="P108" s="1"/>
  <c r="Q109"/>
  <c r="R109" s="1"/>
  <c r="I107"/>
  <c r="L107" s="1"/>
  <c r="H107"/>
  <c r="G107"/>
  <c r="F107"/>
  <c r="E107"/>
  <c r="D107"/>
  <c r="C107"/>
  <c r="B107"/>
  <c r="A107"/>
  <c r="N106"/>
  <c r="M106"/>
  <c r="O107" l="1"/>
  <c r="P107" s="1"/>
  <c r="Q108"/>
  <c r="R108" s="1"/>
  <c r="I106"/>
  <c r="L106" s="1"/>
  <c r="H106"/>
  <c r="G106"/>
  <c r="F106"/>
  <c r="E106"/>
  <c r="D106"/>
  <c r="C106"/>
  <c r="B106"/>
  <c r="A106"/>
  <c r="O106" l="1"/>
  <c r="P106" s="1"/>
  <c r="Q107"/>
  <c r="R107" s="1"/>
  <c r="N104"/>
  <c r="M104"/>
  <c r="Q106" l="1"/>
  <c r="R106" s="1"/>
  <c r="I104"/>
  <c r="L104" s="1"/>
  <c r="H104"/>
  <c r="G104"/>
  <c r="F104"/>
  <c r="E104"/>
  <c r="D104"/>
  <c r="C104"/>
  <c r="B104"/>
  <c r="A104"/>
  <c r="N103"/>
  <c r="M103"/>
  <c r="O104" l="1"/>
  <c r="P104" s="1"/>
  <c r="I103"/>
  <c r="L103" s="1"/>
  <c r="H103"/>
  <c r="G103"/>
  <c r="F103"/>
  <c r="E103"/>
  <c r="D103"/>
  <c r="C103"/>
  <c r="B103"/>
  <c r="A103"/>
  <c r="N102"/>
  <c r="M102"/>
  <c r="O103" l="1"/>
  <c r="P103" s="1"/>
  <c r="Q104"/>
  <c r="R104" s="1"/>
  <c r="I102"/>
  <c r="L102" s="1"/>
  <c r="H102"/>
  <c r="G102"/>
  <c r="F102"/>
  <c r="E102"/>
  <c r="D102"/>
  <c r="C102"/>
  <c r="B102"/>
  <c r="A102"/>
  <c r="N101"/>
  <c r="M101"/>
  <c r="O102" l="1"/>
  <c r="P102" s="1"/>
  <c r="Q103"/>
  <c r="R103" s="1"/>
  <c r="I101"/>
  <c r="L101" s="1"/>
  <c r="H101"/>
  <c r="G101"/>
  <c r="F101"/>
  <c r="E101"/>
  <c r="D101"/>
  <c r="C101"/>
  <c r="B101"/>
  <c r="A101"/>
  <c r="N100"/>
  <c r="M100"/>
  <c r="O101" l="1"/>
  <c r="P101" s="1"/>
  <c r="Q102"/>
  <c r="R102" s="1"/>
  <c r="I100"/>
  <c r="L100" s="1"/>
  <c r="H100"/>
  <c r="G100"/>
  <c r="F100"/>
  <c r="E100"/>
  <c r="D100"/>
  <c r="C100"/>
  <c r="B100"/>
  <c r="A100"/>
  <c r="N99"/>
  <c r="M99"/>
  <c r="P100" l="1"/>
  <c r="O100"/>
  <c r="Q100" s="1"/>
  <c r="R100" s="1"/>
  <c r="Q101"/>
  <c r="R101" s="1"/>
  <c r="H99"/>
  <c r="G99"/>
  <c r="I99" s="1"/>
  <c r="F99"/>
  <c r="E99"/>
  <c r="D99"/>
  <c r="C99"/>
  <c r="B99"/>
  <c r="A99"/>
  <c r="N98"/>
  <c r="M98"/>
  <c r="L99" l="1"/>
  <c r="I98"/>
  <c r="L98" s="1"/>
  <c r="H98"/>
  <c r="G98"/>
  <c r="F98"/>
  <c r="E98"/>
  <c r="D98"/>
  <c r="C98"/>
  <c r="B98"/>
  <c r="A98"/>
  <c r="Q98" l="1"/>
  <c r="O98"/>
  <c r="P98" s="1"/>
  <c r="O99"/>
  <c r="P99" s="1"/>
  <c r="A97"/>
  <c r="N96"/>
  <c r="M96"/>
  <c r="R98" l="1"/>
  <c r="Q99"/>
  <c r="R99" s="1"/>
  <c r="H96"/>
  <c r="G96"/>
  <c r="I96" s="1"/>
  <c r="F96"/>
  <c r="E96"/>
  <c r="D96"/>
  <c r="C96"/>
  <c r="B96"/>
  <c r="A96"/>
  <c r="N95"/>
  <c r="M95"/>
  <c r="L96" l="1"/>
  <c r="I95"/>
  <c r="L95" s="1"/>
  <c r="H95"/>
  <c r="G95"/>
  <c r="F95"/>
  <c r="E95"/>
  <c r="D95"/>
  <c r="C95"/>
  <c r="B95"/>
  <c r="A95"/>
  <c r="N94"/>
  <c r="M94"/>
  <c r="O95" l="1"/>
  <c r="Q95" s="1"/>
  <c r="P96"/>
  <c r="O96"/>
  <c r="Q96" s="1"/>
  <c r="R96" s="1"/>
  <c r="H94"/>
  <c r="G94"/>
  <c r="I94" s="1"/>
  <c r="L94" s="1"/>
  <c r="F94"/>
  <c r="E94"/>
  <c r="D94"/>
  <c r="C94"/>
  <c r="B94"/>
  <c r="A94"/>
  <c r="N93"/>
  <c r="M93"/>
  <c r="O94" l="1"/>
  <c r="P94" s="1"/>
  <c r="R95"/>
  <c r="P95"/>
  <c r="H93"/>
  <c r="G93"/>
  <c r="I93" s="1"/>
  <c r="L93" s="1"/>
  <c r="F93"/>
  <c r="E93"/>
  <c r="D93"/>
  <c r="C93"/>
  <c r="B93"/>
  <c r="A93"/>
  <c r="N92"/>
  <c r="M92"/>
  <c r="O93" l="1"/>
  <c r="P93" s="1"/>
  <c r="Q94"/>
  <c r="R94" s="1"/>
  <c r="I92"/>
  <c r="L92" s="1"/>
  <c r="H92"/>
  <c r="G92"/>
  <c r="F92"/>
  <c r="E92"/>
  <c r="D92"/>
  <c r="C92"/>
  <c r="B92"/>
  <c r="A92"/>
  <c r="N91"/>
  <c r="M91"/>
  <c r="O92" l="1"/>
  <c r="Q92" s="1"/>
  <c r="Q93"/>
  <c r="R93" s="1"/>
  <c r="I91"/>
  <c r="L91" s="1"/>
  <c r="H91"/>
  <c r="G91"/>
  <c r="F91"/>
  <c r="E91"/>
  <c r="D91"/>
  <c r="C91"/>
  <c r="B91"/>
  <c r="A91"/>
  <c r="N90"/>
  <c r="M90"/>
  <c r="Q91" l="1"/>
  <c r="O91"/>
  <c r="P91" s="1"/>
  <c r="P92"/>
  <c r="R92" s="1"/>
  <c r="H90"/>
  <c r="G90"/>
  <c r="I90" s="1"/>
  <c r="F90"/>
  <c r="E90"/>
  <c r="D90"/>
  <c r="C90"/>
  <c r="B90"/>
  <c r="A90"/>
  <c r="L90" l="1"/>
  <c r="R91"/>
  <c r="N88"/>
  <c r="M88"/>
  <c r="Q90" l="1"/>
  <c r="O90"/>
  <c r="P90" s="1"/>
  <c r="H88"/>
  <c r="G88"/>
  <c r="I88" s="1"/>
  <c r="L88" s="1"/>
  <c r="F88"/>
  <c r="E88"/>
  <c r="D88"/>
  <c r="C88"/>
  <c r="B88"/>
  <c r="A88"/>
  <c r="N87"/>
  <c r="M87"/>
  <c r="O88" l="1"/>
  <c r="P88" s="1"/>
  <c r="R90"/>
  <c r="I87"/>
  <c r="L87" s="1"/>
  <c r="H87"/>
  <c r="G87"/>
  <c r="F87"/>
  <c r="E87"/>
  <c r="D87"/>
  <c r="C87"/>
  <c r="B87"/>
  <c r="A87"/>
  <c r="N86"/>
  <c r="M86"/>
  <c r="O87" l="1"/>
  <c r="P87" s="1"/>
  <c r="Q88"/>
  <c r="R88" s="1"/>
  <c r="I86"/>
  <c r="L86" s="1"/>
  <c r="H86"/>
  <c r="G86"/>
  <c r="F86"/>
  <c r="E86"/>
  <c r="D86"/>
  <c r="C86"/>
  <c r="B86"/>
  <c r="A86"/>
  <c r="N85"/>
  <c r="M85"/>
  <c r="O86" l="1"/>
  <c r="Q86" s="1"/>
  <c r="Q87"/>
  <c r="R87" s="1"/>
  <c r="I85"/>
  <c r="L85" s="1"/>
  <c r="H85"/>
  <c r="G85"/>
  <c r="F85"/>
  <c r="E85"/>
  <c r="D85"/>
  <c r="C85"/>
  <c r="B85"/>
  <c r="A85"/>
  <c r="N84"/>
  <c r="M84"/>
  <c r="O85" l="1"/>
  <c r="P85" s="1"/>
  <c r="R86"/>
  <c r="P86"/>
  <c r="H84"/>
  <c r="G84"/>
  <c r="I84" s="1"/>
  <c r="F84"/>
  <c r="E84"/>
  <c r="D84"/>
  <c r="C84"/>
  <c r="B84"/>
  <c r="A84"/>
  <c r="N83"/>
  <c r="M83"/>
  <c r="L84" l="1"/>
  <c r="Q85"/>
  <c r="R85" s="1"/>
  <c r="I83"/>
  <c r="L83" s="1"/>
  <c r="H83"/>
  <c r="G83"/>
  <c r="F83"/>
  <c r="E83"/>
  <c r="D83"/>
  <c r="C83"/>
  <c r="B83"/>
  <c r="A83"/>
  <c r="N82"/>
  <c r="M82"/>
  <c r="Q83" l="1"/>
  <c r="O83"/>
  <c r="P83" s="1"/>
  <c r="Q84"/>
  <c r="R84" s="1"/>
  <c r="P84"/>
  <c r="O84"/>
  <c r="H82"/>
  <c r="G82"/>
  <c r="I82" s="1"/>
  <c r="F82"/>
  <c r="E82"/>
  <c r="D82"/>
  <c r="C82"/>
  <c r="B82"/>
  <c r="A82"/>
  <c r="L82" l="1"/>
  <c r="R83"/>
  <c r="N80"/>
  <c r="M80"/>
  <c r="Q82" l="1"/>
  <c r="O82"/>
  <c r="P82" s="1"/>
  <c r="H80"/>
  <c r="G80"/>
  <c r="I80" s="1"/>
  <c r="L80" s="1"/>
  <c r="F80"/>
  <c r="E80"/>
  <c r="D80"/>
  <c r="C80"/>
  <c r="B80"/>
  <c r="A80"/>
  <c r="N79"/>
  <c r="M79"/>
  <c r="O80" l="1"/>
  <c r="P80" s="1"/>
  <c r="R82"/>
  <c r="I79"/>
  <c r="L79" s="1"/>
  <c r="H79"/>
  <c r="G79"/>
  <c r="F79"/>
  <c r="E79"/>
  <c r="D79"/>
  <c r="C79"/>
  <c r="B79"/>
  <c r="A79"/>
  <c r="N78"/>
  <c r="M78"/>
  <c r="O79" l="1"/>
  <c r="P79" s="1"/>
  <c r="Q80"/>
  <c r="R80" s="1"/>
  <c r="I78"/>
  <c r="L78" s="1"/>
  <c r="H78"/>
  <c r="G78"/>
  <c r="F78"/>
  <c r="E78"/>
  <c r="D78"/>
  <c r="C78"/>
  <c r="B78"/>
  <c r="A78"/>
  <c r="N77"/>
  <c r="M77"/>
  <c r="O78" l="1"/>
  <c r="P78" s="1"/>
  <c r="Q79"/>
  <c r="R79" s="1"/>
  <c r="I77"/>
  <c r="L77" s="1"/>
  <c r="H77"/>
  <c r="G77"/>
  <c r="F77"/>
  <c r="E77"/>
  <c r="D77"/>
  <c r="C77"/>
  <c r="B77"/>
  <c r="A77"/>
  <c r="N76"/>
  <c r="M76"/>
  <c r="O77" l="1"/>
  <c r="P77" s="1"/>
  <c r="Q78"/>
  <c r="R78" s="1"/>
  <c r="I76"/>
  <c r="L76" s="1"/>
  <c r="H76"/>
  <c r="G76"/>
  <c r="F76"/>
  <c r="E76"/>
  <c r="D76"/>
  <c r="C76"/>
  <c r="B76"/>
  <c r="A76"/>
  <c r="N75"/>
  <c r="M75"/>
  <c r="O76" l="1"/>
  <c r="P76" s="1"/>
  <c r="Q77"/>
  <c r="R77" s="1"/>
  <c r="I75"/>
  <c r="L75" s="1"/>
  <c r="H75"/>
  <c r="G75"/>
  <c r="F75"/>
  <c r="E75"/>
  <c r="D75"/>
  <c r="C75"/>
  <c r="B75"/>
  <c r="A75"/>
  <c r="N74"/>
  <c r="M74"/>
  <c r="O75" l="1"/>
  <c r="P75" s="1"/>
  <c r="Q76"/>
  <c r="R76" s="1"/>
  <c r="I74"/>
  <c r="L74" s="1"/>
  <c r="H74"/>
  <c r="G74"/>
  <c r="F74"/>
  <c r="E74"/>
  <c r="D74"/>
  <c r="C74"/>
  <c r="B74"/>
  <c r="A74"/>
  <c r="O74" l="1"/>
  <c r="P74" s="1"/>
  <c r="Q75"/>
  <c r="R75" s="1"/>
  <c r="N72"/>
  <c r="M72"/>
  <c r="Q74" l="1"/>
  <c r="R74" s="1"/>
  <c r="I72"/>
  <c r="L72" s="1"/>
  <c r="H72"/>
  <c r="G72"/>
  <c r="F72"/>
  <c r="E72"/>
  <c r="D72"/>
  <c r="C72"/>
  <c r="B72"/>
  <c r="A72"/>
  <c r="N71"/>
  <c r="M71"/>
  <c r="O72" l="1"/>
  <c r="P72" s="1"/>
  <c r="I71"/>
  <c r="L71" s="1"/>
  <c r="H71"/>
  <c r="G71"/>
  <c r="F71"/>
  <c r="E71"/>
  <c r="D71"/>
  <c r="C71"/>
  <c r="B71"/>
  <c r="A71"/>
  <c r="N70"/>
  <c r="M70"/>
  <c r="O71" l="1"/>
  <c r="P71" s="1"/>
  <c r="Q72"/>
  <c r="R72" s="1"/>
  <c r="I70"/>
  <c r="L70" s="1"/>
  <c r="H70"/>
  <c r="G70"/>
  <c r="F70"/>
  <c r="E70"/>
  <c r="D70"/>
  <c r="C70"/>
  <c r="B70"/>
  <c r="A70"/>
  <c r="N69"/>
  <c r="M69"/>
  <c r="O70" l="1"/>
  <c r="P70" s="1"/>
  <c r="Q71"/>
  <c r="R71" s="1"/>
  <c r="I69"/>
  <c r="L69" s="1"/>
  <c r="H69"/>
  <c r="G69"/>
  <c r="F69"/>
  <c r="E69"/>
  <c r="D69"/>
  <c r="C69"/>
  <c r="B69"/>
  <c r="A69"/>
  <c r="N68"/>
  <c r="M68"/>
  <c r="O69" l="1"/>
  <c r="P69" s="1"/>
  <c r="Q70"/>
  <c r="R70" s="1"/>
  <c r="I68"/>
  <c r="L68" s="1"/>
  <c r="H68"/>
  <c r="G68"/>
  <c r="F68"/>
  <c r="E68"/>
  <c r="D68"/>
  <c r="C68"/>
  <c r="B68"/>
  <c r="A68"/>
  <c r="N67"/>
  <c r="M67"/>
  <c r="O68" l="1"/>
  <c r="P68" s="1"/>
  <c r="Q69"/>
  <c r="R69" s="1"/>
  <c r="I67"/>
  <c r="L67" s="1"/>
  <c r="H67"/>
  <c r="G67"/>
  <c r="F67"/>
  <c r="E67"/>
  <c r="D67"/>
  <c r="C67"/>
  <c r="B67"/>
  <c r="A67"/>
  <c r="N66"/>
  <c r="M66"/>
  <c r="O67" l="1"/>
  <c r="P67" s="1"/>
  <c r="Q68"/>
  <c r="R68" s="1"/>
  <c r="I66"/>
  <c r="L66" s="1"/>
  <c r="H66"/>
  <c r="G66"/>
  <c r="F66"/>
  <c r="E66"/>
  <c r="D66"/>
  <c r="C66"/>
  <c r="B66"/>
  <c r="A66"/>
  <c r="O66" l="1"/>
  <c r="P66" s="1"/>
  <c r="Q67"/>
  <c r="R67" s="1"/>
  <c r="N64"/>
  <c r="M64"/>
  <c r="Q66" l="1"/>
  <c r="R66" s="1"/>
  <c r="I64"/>
  <c r="L64" s="1"/>
  <c r="H64"/>
  <c r="G64"/>
  <c r="F64"/>
  <c r="E64"/>
  <c r="D64"/>
  <c r="C64"/>
  <c r="B64"/>
  <c r="A64"/>
  <c r="N63"/>
  <c r="M63"/>
  <c r="O64" l="1"/>
  <c r="P64" s="1"/>
  <c r="I63"/>
  <c r="L63" s="1"/>
  <c r="H63"/>
  <c r="G63"/>
  <c r="F63"/>
  <c r="E63"/>
  <c r="D63"/>
  <c r="C63"/>
  <c r="B63"/>
  <c r="A63"/>
  <c r="N62"/>
  <c r="M62"/>
  <c r="O63" l="1"/>
  <c r="P63" s="1"/>
  <c r="Q64"/>
  <c r="R64" s="1"/>
  <c r="I62"/>
  <c r="L62" s="1"/>
  <c r="H62"/>
  <c r="G62"/>
  <c r="F62"/>
  <c r="E62"/>
  <c r="D62"/>
  <c r="C62"/>
  <c r="B62"/>
  <c r="A62"/>
  <c r="N61"/>
  <c r="M61"/>
  <c r="O62" l="1"/>
  <c r="P62" s="1"/>
  <c r="Q63"/>
  <c r="R63" s="1"/>
  <c r="I61"/>
  <c r="L61" s="1"/>
  <c r="H61"/>
  <c r="G61"/>
  <c r="F61"/>
  <c r="E61"/>
  <c r="D61"/>
  <c r="C61"/>
  <c r="B61"/>
  <c r="A61"/>
  <c r="N60"/>
  <c r="M60"/>
  <c r="O61" l="1"/>
  <c r="P61" s="1"/>
  <c r="Q62"/>
  <c r="R62" s="1"/>
  <c r="I60"/>
  <c r="L60" s="1"/>
  <c r="H60"/>
  <c r="G60"/>
  <c r="F60"/>
  <c r="E60"/>
  <c r="D60"/>
  <c r="C60"/>
  <c r="B60"/>
  <c r="A60"/>
  <c r="N59"/>
  <c r="M59"/>
  <c r="O60" l="1"/>
  <c r="P60" s="1"/>
  <c r="Q61"/>
  <c r="R61" s="1"/>
  <c r="I59"/>
  <c r="L59" s="1"/>
  <c r="H59"/>
  <c r="G59"/>
  <c r="F59"/>
  <c r="E59"/>
  <c r="D59"/>
  <c r="C59"/>
  <c r="B59"/>
  <c r="A59"/>
  <c r="N58"/>
  <c r="M58"/>
  <c r="O59" l="1"/>
  <c r="P59" s="1"/>
  <c r="Q60"/>
  <c r="R60" s="1"/>
  <c r="I58"/>
  <c r="L58" s="1"/>
  <c r="H58"/>
  <c r="G58"/>
  <c r="F58"/>
  <c r="E58"/>
  <c r="D58"/>
  <c r="C58"/>
  <c r="B58"/>
  <c r="A58"/>
  <c r="O58" l="1"/>
  <c r="P58" s="1"/>
  <c r="Q59"/>
  <c r="R59" s="1"/>
  <c r="N56"/>
  <c r="M56"/>
  <c r="Q58" l="1"/>
  <c r="R58" s="1"/>
  <c r="I56"/>
  <c r="L56" s="1"/>
  <c r="H56"/>
  <c r="G56"/>
  <c r="F56"/>
  <c r="E56"/>
  <c r="D56"/>
  <c r="C56"/>
  <c r="B56"/>
  <c r="A56"/>
  <c r="N55"/>
  <c r="M55"/>
  <c r="O56" l="1"/>
  <c r="P56" s="1"/>
  <c r="I55"/>
  <c r="L55" s="1"/>
  <c r="H55"/>
  <c r="G55"/>
  <c r="F55"/>
  <c r="E55"/>
  <c r="D55"/>
  <c r="C55"/>
  <c r="B55"/>
  <c r="A55"/>
  <c r="N54"/>
  <c r="M54"/>
  <c r="Q55" l="1"/>
  <c r="O55"/>
  <c r="P55" s="1"/>
  <c r="Q56"/>
  <c r="R56" s="1"/>
  <c r="I54"/>
  <c r="L54" s="1"/>
  <c r="H54"/>
  <c r="G54"/>
  <c r="F54"/>
  <c r="E54"/>
  <c r="D54"/>
  <c r="C54"/>
  <c r="B54"/>
  <c r="A54"/>
  <c r="H200" i="20"/>
  <c r="G200"/>
  <c r="K200" s="1"/>
  <c r="F200"/>
  <c r="I200" s="1"/>
  <c r="E200"/>
  <c r="H199"/>
  <c r="G199"/>
  <c r="K199" s="1"/>
  <c r="F199"/>
  <c r="I199" s="1"/>
  <c r="E199"/>
  <c r="H198"/>
  <c r="G198"/>
  <c r="K198" s="1"/>
  <c r="F198"/>
  <c r="I198" s="1"/>
  <c r="E198"/>
  <c r="H197"/>
  <c r="G197"/>
  <c r="K197" s="1"/>
  <c r="F197"/>
  <c r="I197" s="1"/>
  <c r="E197"/>
  <c r="H196"/>
  <c r="G196"/>
  <c r="K196" s="1"/>
  <c r="F196"/>
  <c r="I196" s="1"/>
  <c r="E196"/>
  <c r="H195"/>
  <c r="G195"/>
  <c r="I195" s="1"/>
  <c r="L195" s="1"/>
  <c r="F195"/>
  <c r="J195" s="1"/>
  <c r="E195"/>
  <c r="H194"/>
  <c r="G194"/>
  <c r="I194" s="1"/>
  <c r="L194" s="1"/>
  <c r="F194"/>
  <c r="J194" s="1"/>
  <c r="E194"/>
  <c r="H192"/>
  <c r="G192"/>
  <c r="I192" s="1"/>
  <c r="L192" s="1"/>
  <c r="F192"/>
  <c r="J192" s="1"/>
  <c r="E192"/>
  <c r="H191"/>
  <c r="G191"/>
  <c r="I191" s="1"/>
  <c r="L191" s="1"/>
  <c r="F191"/>
  <c r="J191" s="1"/>
  <c r="E191"/>
  <c r="H190"/>
  <c r="G190"/>
  <c r="I190" s="1"/>
  <c r="L190" s="1"/>
  <c r="F190"/>
  <c r="J190" s="1"/>
  <c r="E190"/>
  <c r="H189"/>
  <c r="G189"/>
  <c r="I189" s="1"/>
  <c r="L189" s="1"/>
  <c r="F189"/>
  <c r="J189" s="1"/>
  <c r="E189"/>
  <c r="H188"/>
  <c r="G188"/>
  <c r="I188" s="1"/>
  <c r="L188" s="1"/>
  <c r="F188"/>
  <c r="J188" s="1"/>
  <c r="E188"/>
  <c r="H187"/>
  <c r="G187"/>
  <c r="I187" s="1"/>
  <c r="L187" s="1"/>
  <c r="F187"/>
  <c r="J187" s="1"/>
  <c r="E187"/>
  <c r="H186"/>
  <c r="G186"/>
  <c r="I186" s="1"/>
  <c r="L186" s="1"/>
  <c r="F186"/>
  <c r="J186" s="1"/>
  <c r="E186"/>
  <c r="H184"/>
  <c r="G184"/>
  <c r="K184" s="1"/>
  <c r="F184"/>
  <c r="I184" s="1"/>
  <c r="E184"/>
  <c r="H183"/>
  <c r="G183"/>
  <c r="K183" s="1"/>
  <c r="F183"/>
  <c r="I183" s="1"/>
  <c r="E183"/>
  <c r="H182"/>
  <c r="G182"/>
  <c r="K182" s="1"/>
  <c r="F182"/>
  <c r="I182" s="1"/>
  <c r="E182"/>
  <c r="H181"/>
  <c r="G181"/>
  <c r="K181" s="1"/>
  <c r="F181"/>
  <c r="I181" s="1"/>
  <c r="E181"/>
  <c r="H180"/>
  <c r="G180"/>
  <c r="K180" s="1"/>
  <c r="F180"/>
  <c r="I180" s="1"/>
  <c r="E180"/>
  <c r="H179"/>
  <c r="G179"/>
  <c r="K179" s="1"/>
  <c r="F179"/>
  <c r="I179" s="1"/>
  <c r="E179"/>
  <c r="H178"/>
  <c r="G178"/>
  <c r="K178" s="1"/>
  <c r="F178"/>
  <c r="I178" s="1"/>
  <c r="E178"/>
  <c r="H176"/>
  <c r="G176"/>
  <c r="K176" s="1"/>
  <c r="F176"/>
  <c r="I176" s="1"/>
  <c r="E176"/>
  <c r="H175"/>
  <c r="G175"/>
  <c r="K175" s="1"/>
  <c r="F175"/>
  <c r="I175" s="1"/>
  <c r="E175"/>
  <c r="H174"/>
  <c r="G174"/>
  <c r="K174" s="1"/>
  <c r="F174"/>
  <c r="I174" s="1"/>
  <c r="E174"/>
  <c r="H173"/>
  <c r="G173"/>
  <c r="K173" s="1"/>
  <c r="F173"/>
  <c r="I173" s="1"/>
  <c r="E173"/>
  <c r="H172"/>
  <c r="G172"/>
  <c r="K172" s="1"/>
  <c r="F172"/>
  <c r="I172" s="1"/>
  <c r="E172"/>
  <c r="H171"/>
  <c r="G171"/>
  <c r="K171" s="1"/>
  <c r="F171"/>
  <c r="I171" s="1"/>
  <c r="E171"/>
  <c r="H170"/>
  <c r="G170"/>
  <c r="K170" s="1"/>
  <c r="F170"/>
  <c r="I170" s="1"/>
  <c r="E170"/>
  <c r="H168"/>
  <c r="G168"/>
  <c r="K168" s="1"/>
  <c r="F168"/>
  <c r="I168" s="1"/>
  <c r="E168"/>
  <c r="H167"/>
  <c r="G167"/>
  <c r="I167" s="1"/>
  <c r="L167" s="1"/>
  <c r="F167"/>
  <c r="J167" s="1"/>
  <c r="E167"/>
  <c r="H166"/>
  <c r="G166"/>
  <c r="I166" s="1"/>
  <c r="L166" s="1"/>
  <c r="F166"/>
  <c r="J166" s="1"/>
  <c r="E166"/>
  <c r="H165"/>
  <c r="G165"/>
  <c r="I165" s="1"/>
  <c r="L165" s="1"/>
  <c r="F165"/>
  <c r="J165" s="1"/>
  <c r="E165"/>
  <c r="H164"/>
  <c r="G164"/>
  <c r="I164" s="1"/>
  <c r="L164" s="1"/>
  <c r="F164"/>
  <c r="J164" s="1"/>
  <c r="E164"/>
  <c r="H163"/>
  <c r="G163"/>
  <c r="I163" s="1"/>
  <c r="L163" s="1"/>
  <c r="F163"/>
  <c r="J163" s="1"/>
  <c r="E163"/>
  <c r="H162"/>
  <c r="G162"/>
  <c r="I162" s="1"/>
  <c r="L162" s="1"/>
  <c r="F162"/>
  <c r="J162" s="1"/>
  <c r="E162"/>
  <c r="H160"/>
  <c r="G160"/>
  <c r="K160" s="1"/>
  <c r="F160"/>
  <c r="I160" s="1"/>
  <c r="E160"/>
  <c r="H159"/>
  <c r="G159"/>
  <c r="K159" s="1"/>
  <c r="F159"/>
  <c r="I159" s="1"/>
  <c r="E159"/>
  <c r="H158"/>
  <c r="G158"/>
  <c r="K158" s="1"/>
  <c r="F158"/>
  <c r="I158" s="1"/>
  <c r="E158"/>
  <c r="H157"/>
  <c r="G157"/>
  <c r="K157" s="1"/>
  <c r="F157"/>
  <c r="I157" s="1"/>
  <c r="E157"/>
  <c r="H156"/>
  <c r="G156"/>
  <c r="K156" s="1"/>
  <c r="F156"/>
  <c r="I156" s="1"/>
  <c r="E156"/>
  <c r="H155"/>
  <c r="G155"/>
  <c r="K155" s="1"/>
  <c r="F155"/>
  <c r="I155" s="1"/>
  <c r="E155"/>
  <c r="H154"/>
  <c r="G154"/>
  <c r="K154" s="1"/>
  <c r="F154"/>
  <c r="I154" s="1"/>
  <c r="E154"/>
  <c r="H152"/>
  <c r="G152"/>
  <c r="K152" s="1"/>
  <c r="F152"/>
  <c r="I152" s="1"/>
  <c r="E152"/>
  <c r="H151"/>
  <c r="G151"/>
  <c r="K151" s="1"/>
  <c r="F151"/>
  <c r="I151" s="1"/>
  <c r="E151"/>
  <c r="H150"/>
  <c r="G150"/>
  <c r="K150" s="1"/>
  <c r="F150"/>
  <c r="I150" s="1"/>
  <c r="E150"/>
  <c r="H149"/>
  <c r="G149"/>
  <c r="K149" s="1"/>
  <c r="F149"/>
  <c r="I149" s="1"/>
  <c r="E149"/>
  <c r="H148"/>
  <c r="G148"/>
  <c r="K148" s="1"/>
  <c r="F148"/>
  <c r="I148" s="1"/>
  <c r="E148"/>
  <c r="H147"/>
  <c r="G147"/>
  <c r="K147" s="1"/>
  <c r="F147"/>
  <c r="I147" s="1"/>
  <c r="E147"/>
  <c r="H146"/>
  <c r="G146"/>
  <c r="K146" s="1"/>
  <c r="F146"/>
  <c r="I146" s="1"/>
  <c r="E146"/>
  <c r="H144"/>
  <c r="G144"/>
  <c r="K144" s="1"/>
  <c r="F144"/>
  <c r="I144" s="1"/>
  <c r="E144"/>
  <c r="H143"/>
  <c r="G143"/>
  <c r="K143" s="1"/>
  <c r="F143"/>
  <c r="I143" s="1"/>
  <c r="E143"/>
  <c r="H142"/>
  <c r="G142"/>
  <c r="K142" s="1"/>
  <c r="F142"/>
  <c r="I142" s="1"/>
  <c r="E142"/>
  <c r="H141"/>
  <c r="G141"/>
  <c r="K141" s="1"/>
  <c r="F141"/>
  <c r="I141" s="1"/>
  <c r="E141"/>
  <c r="H140"/>
  <c r="G140"/>
  <c r="K140" s="1"/>
  <c r="F140"/>
  <c r="I140" s="1"/>
  <c r="E140"/>
  <c r="H139"/>
  <c r="G139"/>
  <c r="K139" s="1"/>
  <c r="F139"/>
  <c r="I139" s="1"/>
  <c r="E139"/>
  <c r="H138"/>
  <c r="G138"/>
  <c r="K138" s="1"/>
  <c r="F138"/>
  <c r="I138" s="1"/>
  <c r="E138"/>
  <c r="H136"/>
  <c r="G136"/>
  <c r="K136" s="1"/>
  <c r="F136"/>
  <c r="I136" s="1"/>
  <c r="E136"/>
  <c r="H135"/>
  <c r="G135"/>
  <c r="K135" s="1"/>
  <c r="F135"/>
  <c r="I135" s="1"/>
  <c r="E135"/>
  <c r="H134"/>
  <c r="G134"/>
  <c r="K134" s="1"/>
  <c r="F134"/>
  <c r="I134" s="1"/>
  <c r="E134"/>
  <c r="H133"/>
  <c r="G133"/>
  <c r="K133" s="1"/>
  <c r="F133"/>
  <c r="I133" s="1"/>
  <c r="E133"/>
  <c r="H132"/>
  <c r="G132"/>
  <c r="K132" s="1"/>
  <c r="F132"/>
  <c r="I132" s="1"/>
  <c r="E132"/>
  <c r="H131"/>
  <c r="G131"/>
  <c r="K131" s="1"/>
  <c r="F131"/>
  <c r="I131" s="1"/>
  <c r="E131"/>
  <c r="H130"/>
  <c r="G130"/>
  <c r="K130" s="1"/>
  <c r="F130"/>
  <c r="I130" s="1"/>
  <c r="E130"/>
  <c r="H128"/>
  <c r="G128"/>
  <c r="K128" s="1"/>
  <c r="F128"/>
  <c r="I128" s="1"/>
  <c r="E128"/>
  <c r="H127"/>
  <c r="G127"/>
  <c r="K127" s="1"/>
  <c r="F127"/>
  <c r="I127" s="1"/>
  <c r="E127"/>
  <c r="H126"/>
  <c r="G126"/>
  <c r="K126" s="1"/>
  <c r="F126"/>
  <c r="I126" s="1"/>
  <c r="E126"/>
  <c r="H125"/>
  <c r="G125"/>
  <c r="K125" s="1"/>
  <c r="F125"/>
  <c r="I125" s="1"/>
  <c r="E125"/>
  <c r="H124"/>
  <c r="G124"/>
  <c r="K124" s="1"/>
  <c r="F124"/>
  <c r="I124" s="1"/>
  <c r="E124"/>
  <c r="H123"/>
  <c r="G123"/>
  <c r="K123" s="1"/>
  <c r="F123"/>
  <c r="I123" s="1"/>
  <c r="E123"/>
  <c r="H122"/>
  <c r="G122"/>
  <c r="K122" s="1"/>
  <c r="F122"/>
  <c r="I122" s="1"/>
  <c r="E122"/>
  <c r="K120"/>
  <c r="H120"/>
  <c r="G120"/>
  <c r="J120" s="1"/>
  <c r="F120"/>
  <c r="I120" s="1"/>
  <c r="E120"/>
  <c r="H119"/>
  <c r="G119"/>
  <c r="K119" s="1"/>
  <c r="F119"/>
  <c r="I119" s="1"/>
  <c r="E119"/>
  <c r="H118"/>
  <c r="G118"/>
  <c r="K118" s="1"/>
  <c r="F118"/>
  <c r="I118" s="1"/>
  <c r="E118"/>
  <c r="H117"/>
  <c r="G117"/>
  <c r="K117" s="1"/>
  <c r="F117"/>
  <c r="I117" s="1"/>
  <c r="E117"/>
  <c r="H116"/>
  <c r="G116"/>
  <c r="K116" s="1"/>
  <c r="F116"/>
  <c r="I116" s="1"/>
  <c r="E116"/>
  <c r="H115"/>
  <c r="G115"/>
  <c r="K115" s="1"/>
  <c r="F115"/>
  <c r="I115" s="1"/>
  <c r="E115"/>
  <c r="H114"/>
  <c r="G114"/>
  <c r="K114" s="1"/>
  <c r="F114"/>
  <c r="I114" s="1"/>
  <c r="E114"/>
  <c r="H112"/>
  <c r="G112"/>
  <c r="K112" s="1"/>
  <c r="F112"/>
  <c r="I112" s="1"/>
  <c r="E112"/>
  <c r="H111"/>
  <c r="G111"/>
  <c r="K111" s="1"/>
  <c r="F111"/>
  <c r="I111" s="1"/>
  <c r="E111"/>
  <c r="H110"/>
  <c r="G110"/>
  <c r="K110" s="1"/>
  <c r="F110"/>
  <c r="I110" s="1"/>
  <c r="E110"/>
  <c r="H109"/>
  <c r="G109"/>
  <c r="K109" s="1"/>
  <c r="F109"/>
  <c r="I109" s="1"/>
  <c r="E109"/>
  <c r="H108"/>
  <c r="G108"/>
  <c r="K108" s="1"/>
  <c r="F108"/>
  <c r="I108" s="1"/>
  <c r="E108"/>
  <c r="H107"/>
  <c r="G107"/>
  <c r="K107" s="1"/>
  <c r="F107"/>
  <c r="I107" s="1"/>
  <c r="E107"/>
  <c r="H106"/>
  <c r="G106"/>
  <c r="K106" s="1"/>
  <c r="F106"/>
  <c r="I106" s="1"/>
  <c r="E106"/>
  <c r="H104"/>
  <c r="G104"/>
  <c r="K104" s="1"/>
  <c r="F104"/>
  <c r="I104" s="1"/>
  <c r="E104"/>
  <c r="H103"/>
  <c r="G103"/>
  <c r="K103" s="1"/>
  <c r="F103"/>
  <c r="I103" s="1"/>
  <c r="E103"/>
  <c r="H102"/>
  <c r="G102"/>
  <c r="K102" s="1"/>
  <c r="F102"/>
  <c r="I102" s="1"/>
  <c r="E102"/>
  <c r="H101"/>
  <c r="G101"/>
  <c r="K101" s="1"/>
  <c r="F101"/>
  <c r="I101" s="1"/>
  <c r="E101"/>
  <c r="H100"/>
  <c r="G100"/>
  <c r="K100" s="1"/>
  <c r="F100"/>
  <c r="I100" s="1"/>
  <c r="E100"/>
  <c r="H99"/>
  <c r="G99"/>
  <c r="K99" s="1"/>
  <c r="F99"/>
  <c r="I99" s="1"/>
  <c r="E99"/>
  <c r="H98"/>
  <c r="G98"/>
  <c r="K98" s="1"/>
  <c r="F98"/>
  <c r="I98" s="1"/>
  <c r="E98"/>
  <c r="H96"/>
  <c r="G96"/>
  <c r="I96" s="1"/>
  <c r="L96" s="1"/>
  <c r="F96"/>
  <c r="J96" s="1"/>
  <c r="E96"/>
  <c r="H95"/>
  <c r="G95"/>
  <c r="I95" s="1"/>
  <c r="L95" s="1"/>
  <c r="F95"/>
  <c r="J95" s="1"/>
  <c r="E95"/>
  <c r="H94"/>
  <c r="G94"/>
  <c r="I94" s="1"/>
  <c r="L94" s="1"/>
  <c r="F94"/>
  <c r="J94" s="1"/>
  <c r="E94"/>
  <c r="H93"/>
  <c r="G93"/>
  <c r="I93" s="1"/>
  <c r="L93" s="1"/>
  <c r="F93"/>
  <c r="J93" s="1"/>
  <c r="E93"/>
  <c r="H92"/>
  <c r="G92"/>
  <c r="I92" s="1"/>
  <c r="L92" s="1"/>
  <c r="F92"/>
  <c r="J92" s="1"/>
  <c r="E92"/>
  <c r="H91"/>
  <c r="G91"/>
  <c r="I91" s="1"/>
  <c r="L91" s="1"/>
  <c r="F91"/>
  <c r="J91" s="1"/>
  <c r="E91"/>
  <c r="H90"/>
  <c r="G90"/>
  <c r="I90" s="1"/>
  <c r="L90" s="1"/>
  <c r="F90"/>
  <c r="J90" s="1"/>
  <c r="E90"/>
  <c r="H88"/>
  <c r="G88"/>
  <c r="K88" s="1"/>
  <c r="F88"/>
  <c r="I88" s="1"/>
  <c r="E88"/>
  <c r="H87"/>
  <c r="G87"/>
  <c r="K87" s="1"/>
  <c r="F87"/>
  <c r="I87" s="1"/>
  <c r="E87"/>
  <c r="H86"/>
  <c r="G86"/>
  <c r="K86" s="1"/>
  <c r="F86"/>
  <c r="I86" s="1"/>
  <c r="E86"/>
  <c r="H85"/>
  <c r="G85"/>
  <c r="K85" s="1"/>
  <c r="F85"/>
  <c r="I85" s="1"/>
  <c r="E85"/>
  <c r="H84"/>
  <c r="G84"/>
  <c r="K84" s="1"/>
  <c r="F84"/>
  <c r="I84" s="1"/>
  <c r="E84"/>
  <c r="H83"/>
  <c r="G83"/>
  <c r="K83" s="1"/>
  <c r="F83"/>
  <c r="I83" s="1"/>
  <c r="E83"/>
  <c r="H82"/>
  <c r="G82"/>
  <c r="K82" s="1"/>
  <c r="F82"/>
  <c r="I82" s="1"/>
  <c r="E82"/>
  <c r="H80"/>
  <c r="G80"/>
  <c r="K80" s="1"/>
  <c r="F80"/>
  <c r="I80" s="1"/>
  <c r="E80"/>
  <c r="H79"/>
  <c r="G79"/>
  <c r="K79" s="1"/>
  <c r="F79"/>
  <c r="I79" s="1"/>
  <c r="E79"/>
  <c r="H78"/>
  <c r="G78"/>
  <c r="K78" s="1"/>
  <c r="F78"/>
  <c r="I78" s="1"/>
  <c r="E78"/>
  <c r="H77"/>
  <c r="G77"/>
  <c r="K77" s="1"/>
  <c r="F77"/>
  <c r="I77" s="1"/>
  <c r="E77"/>
  <c r="H76"/>
  <c r="G76"/>
  <c r="K76" s="1"/>
  <c r="F76"/>
  <c r="I76" s="1"/>
  <c r="E76"/>
  <c r="H75"/>
  <c r="G75"/>
  <c r="I75" s="1"/>
  <c r="L75" s="1"/>
  <c r="F75"/>
  <c r="J75" s="1"/>
  <c r="E75"/>
  <c r="H74"/>
  <c r="G74"/>
  <c r="I74" s="1"/>
  <c r="L74" s="1"/>
  <c r="F74"/>
  <c r="J74" s="1"/>
  <c r="E74"/>
  <c r="H72"/>
  <c r="G72"/>
  <c r="K72" s="1"/>
  <c r="F72"/>
  <c r="I72" s="1"/>
  <c r="E72"/>
  <c r="H71"/>
  <c r="G71"/>
  <c r="K71" s="1"/>
  <c r="F71"/>
  <c r="I71" s="1"/>
  <c r="E71"/>
  <c r="H70"/>
  <c r="G70"/>
  <c r="K70" s="1"/>
  <c r="F70"/>
  <c r="I70" s="1"/>
  <c r="E70"/>
  <c r="H69"/>
  <c r="G69"/>
  <c r="K69" s="1"/>
  <c r="F69"/>
  <c r="I69" s="1"/>
  <c r="E69"/>
  <c r="H68"/>
  <c r="G68"/>
  <c r="K68" s="1"/>
  <c r="F68"/>
  <c r="I68" s="1"/>
  <c r="E68"/>
  <c r="H67"/>
  <c r="G67"/>
  <c r="K67" s="1"/>
  <c r="F67"/>
  <c r="I67" s="1"/>
  <c r="E67"/>
  <c r="H66"/>
  <c r="G66"/>
  <c r="K66" s="1"/>
  <c r="F66"/>
  <c r="I66" s="1"/>
  <c r="E66"/>
  <c r="H64"/>
  <c r="G64"/>
  <c r="K64" s="1"/>
  <c r="F64"/>
  <c r="I64" s="1"/>
  <c r="E64"/>
  <c r="H63"/>
  <c r="G63"/>
  <c r="K63" s="1"/>
  <c r="F63"/>
  <c r="I63" s="1"/>
  <c r="E63"/>
  <c r="H62"/>
  <c r="G62"/>
  <c r="K62" s="1"/>
  <c r="F62"/>
  <c r="I62" s="1"/>
  <c r="E62"/>
  <c r="H61"/>
  <c r="G61"/>
  <c r="K61" s="1"/>
  <c r="F61"/>
  <c r="I61" s="1"/>
  <c r="E61"/>
  <c r="H60"/>
  <c r="G60"/>
  <c r="K60" s="1"/>
  <c r="F60"/>
  <c r="I60" s="1"/>
  <c r="E60"/>
  <c r="H59"/>
  <c r="G59"/>
  <c r="K59" s="1"/>
  <c r="F59"/>
  <c r="J59" s="1"/>
  <c r="E59"/>
  <c r="H58"/>
  <c r="G58"/>
  <c r="K58" s="1"/>
  <c r="F58"/>
  <c r="I58" s="1"/>
  <c r="E58"/>
  <c r="H56"/>
  <c r="G56"/>
  <c r="K56" s="1"/>
  <c r="F56"/>
  <c r="I56" s="1"/>
  <c r="E56"/>
  <c r="H55"/>
  <c r="G55"/>
  <c r="K55" s="1"/>
  <c r="F55"/>
  <c r="I55" s="1"/>
  <c r="E55"/>
  <c r="H54"/>
  <c r="G54"/>
  <c r="K54" s="1"/>
  <c r="F54"/>
  <c r="I54" s="1"/>
  <c r="E54"/>
  <c r="H53"/>
  <c r="G53"/>
  <c r="K53" s="1"/>
  <c r="F53"/>
  <c r="I53" s="1"/>
  <c r="E53"/>
  <c r="H52"/>
  <c r="G52"/>
  <c r="K52" s="1"/>
  <c r="F52"/>
  <c r="I52" s="1"/>
  <c r="E52"/>
  <c r="H51"/>
  <c r="G51"/>
  <c r="K51" s="1"/>
  <c r="F51"/>
  <c r="I51" s="1"/>
  <c r="E51"/>
  <c r="H50"/>
  <c r="G50"/>
  <c r="K50" s="1"/>
  <c r="F50"/>
  <c r="I50" s="1"/>
  <c r="E50"/>
  <c r="H48"/>
  <c r="G48"/>
  <c r="K48" s="1"/>
  <c r="F48"/>
  <c r="I48" s="1"/>
  <c r="E48"/>
  <c r="H47"/>
  <c r="G47"/>
  <c r="K47" s="1"/>
  <c r="F47"/>
  <c r="I47" s="1"/>
  <c r="E47"/>
  <c r="H46"/>
  <c r="G46"/>
  <c r="K46" s="1"/>
  <c r="F46"/>
  <c r="I46" s="1"/>
  <c r="E46"/>
  <c r="H45"/>
  <c r="G45"/>
  <c r="K45" s="1"/>
  <c r="F45"/>
  <c r="I45" s="1"/>
  <c r="E45"/>
  <c r="H44"/>
  <c r="G44"/>
  <c r="K44" s="1"/>
  <c r="F44"/>
  <c r="I44" s="1"/>
  <c r="E44"/>
  <c r="H43"/>
  <c r="G43"/>
  <c r="K43" s="1"/>
  <c r="F43"/>
  <c r="I43" s="1"/>
  <c r="E43"/>
  <c r="H42"/>
  <c r="G42"/>
  <c r="K42" s="1"/>
  <c r="F42"/>
  <c r="I42" s="1"/>
  <c r="E42"/>
  <c r="H40"/>
  <c r="G40"/>
  <c r="K40" s="1"/>
  <c r="F40"/>
  <c r="J40" s="1"/>
  <c r="E40"/>
  <c r="H39"/>
  <c r="G39"/>
  <c r="K39" s="1"/>
  <c r="F39"/>
  <c r="J39" s="1"/>
  <c r="E39"/>
  <c r="H38"/>
  <c r="G38"/>
  <c r="K38" s="1"/>
  <c r="F38"/>
  <c r="J38" s="1"/>
  <c r="E38"/>
  <c r="H37"/>
  <c r="G37"/>
  <c r="K37" s="1"/>
  <c r="F37"/>
  <c r="J37" s="1"/>
  <c r="E37"/>
  <c r="H36"/>
  <c r="G36"/>
  <c r="K36" s="1"/>
  <c r="F36"/>
  <c r="J36" s="1"/>
  <c r="E36"/>
  <c r="H35"/>
  <c r="G35"/>
  <c r="I35" s="1"/>
  <c r="L35" s="1"/>
  <c r="F35"/>
  <c r="J35" s="1"/>
  <c r="E35"/>
  <c r="H34"/>
  <c r="G34"/>
  <c r="K34" s="1"/>
  <c r="F34"/>
  <c r="J34" s="1"/>
  <c r="E34"/>
  <c r="H32"/>
  <c r="G32"/>
  <c r="F32"/>
  <c r="I32" s="1"/>
  <c r="E32"/>
  <c r="H31"/>
  <c r="G31"/>
  <c r="F31"/>
  <c r="I31" s="1"/>
  <c r="E31"/>
  <c r="I30"/>
  <c r="H30"/>
  <c r="G30"/>
  <c r="F30"/>
  <c r="J30" s="1"/>
  <c r="E30"/>
  <c r="I29"/>
  <c r="H29"/>
  <c r="G29"/>
  <c r="F29"/>
  <c r="J29" s="1"/>
  <c r="E29"/>
  <c r="H28"/>
  <c r="G28"/>
  <c r="F28"/>
  <c r="I28" s="1"/>
  <c r="E28"/>
  <c r="H27"/>
  <c r="G27"/>
  <c r="F27"/>
  <c r="J27" s="1"/>
  <c r="E27"/>
  <c r="H26"/>
  <c r="G26"/>
  <c r="F26"/>
  <c r="I26" s="1"/>
  <c r="E26"/>
  <c r="H24"/>
  <c r="G24"/>
  <c r="F24"/>
  <c r="K24" s="1"/>
  <c r="E24"/>
  <c r="H23"/>
  <c r="G23"/>
  <c r="F23"/>
  <c r="K23" s="1"/>
  <c r="E23"/>
  <c r="H22"/>
  <c r="G22"/>
  <c r="F22"/>
  <c r="K22" s="1"/>
  <c r="E22"/>
  <c r="H21"/>
  <c r="G21"/>
  <c r="F21"/>
  <c r="K21" s="1"/>
  <c r="E21"/>
  <c r="H20"/>
  <c r="G20"/>
  <c r="F20"/>
  <c r="K20" s="1"/>
  <c r="E20"/>
  <c r="H19"/>
  <c r="G19"/>
  <c r="F19"/>
  <c r="K19" s="1"/>
  <c r="E19"/>
  <c r="H18"/>
  <c r="G18"/>
  <c r="F18"/>
  <c r="K18" s="1"/>
  <c r="E18"/>
  <c r="H16"/>
  <c r="G16"/>
  <c r="F16"/>
  <c r="I16" s="1"/>
  <c r="E16"/>
  <c r="H15"/>
  <c r="G15"/>
  <c r="F15"/>
  <c r="I15" s="1"/>
  <c r="E15"/>
  <c r="H14"/>
  <c r="I14" s="1"/>
  <c r="G14"/>
  <c r="F14"/>
  <c r="J14" s="1"/>
  <c r="E14"/>
  <c r="H13"/>
  <c r="I13" s="1"/>
  <c r="G13"/>
  <c r="F13"/>
  <c r="J13" s="1"/>
  <c r="E13"/>
  <c r="H12"/>
  <c r="I12" s="1"/>
  <c r="G12"/>
  <c r="F12"/>
  <c r="J12" s="1"/>
  <c r="E12"/>
  <c r="H11"/>
  <c r="I11" s="1"/>
  <c r="G11"/>
  <c r="F11"/>
  <c r="J11" s="1"/>
  <c r="E11"/>
  <c r="H10"/>
  <c r="I10" s="1"/>
  <c r="G10"/>
  <c r="F10"/>
  <c r="J10" s="1"/>
  <c r="E10"/>
  <c r="N53" i="22"/>
  <c r="M53"/>
  <c r="P54" l="1"/>
  <c r="O54"/>
  <c r="Q54" s="1"/>
  <c r="R54" s="1"/>
  <c r="R55"/>
  <c r="L197" i="20"/>
  <c r="L198"/>
  <c r="K194"/>
  <c r="J196"/>
  <c r="L196" s="1"/>
  <c r="J197"/>
  <c r="J198"/>
  <c r="J199"/>
  <c r="L199" s="1"/>
  <c r="J200"/>
  <c r="L200" s="1"/>
  <c r="K195"/>
  <c r="K187"/>
  <c r="K189"/>
  <c r="K190"/>
  <c r="K191"/>
  <c r="K192"/>
  <c r="K186"/>
  <c r="K188"/>
  <c r="L179"/>
  <c r="L181"/>
  <c r="L183"/>
  <c r="L184"/>
  <c r="J179"/>
  <c r="J181"/>
  <c r="J182"/>
  <c r="L182" s="1"/>
  <c r="J183"/>
  <c r="J184"/>
  <c r="J178"/>
  <c r="L178" s="1"/>
  <c r="J180"/>
  <c r="L180" s="1"/>
  <c r="L170"/>
  <c r="L171"/>
  <c r="L174"/>
  <c r="J170"/>
  <c r="J172"/>
  <c r="L172" s="1"/>
  <c r="J174"/>
  <c r="J171"/>
  <c r="J173"/>
  <c r="L173" s="1"/>
  <c r="J175"/>
  <c r="L175" s="1"/>
  <c r="J176"/>
  <c r="L176" s="1"/>
  <c r="L168"/>
  <c r="K164"/>
  <c r="K165"/>
  <c r="K166"/>
  <c r="K167"/>
  <c r="J168"/>
  <c r="K162"/>
  <c r="K163"/>
  <c r="L155"/>
  <c r="L157"/>
  <c r="L159"/>
  <c r="J155"/>
  <c r="J157"/>
  <c r="J154"/>
  <c r="L154" s="1"/>
  <c r="J156"/>
  <c r="L156" s="1"/>
  <c r="J158"/>
  <c r="L158" s="1"/>
  <c r="J159"/>
  <c r="J160"/>
  <c r="L160" s="1"/>
  <c r="L146"/>
  <c r="L147"/>
  <c r="J147"/>
  <c r="J150"/>
  <c r="L150" s="1"/>
  <c r="J151"/>
  <c r="L151" s="1"/>
  <c r="J152"/>
  <c r="L152" s="1"/>
  <c r="J146"/>
  <c r="J148"/>
  <c r="L148" s="1"/>
  <c r="J149"/>
  <c r="L149" s="1"/>
  <c r="L141"/>
  <c r="L144"/>
  <c r="J139"/>
  <c r="L139" s="1"/>
  <c r="J141"/>
  <c r="J142"/>
  <c r="L142" s="1"/>
  <c r="J143"/>
  <c r="L143" s="1"/>
  <c r="J144"/>
  <c r="J138"/>
  <c r="L138" s="1"/>
  <c r="J140"/>
  <c r="L140" s="1"/>
  <c r="L130"/>
  <c r="L134"/>
  <c r="J130"/>
  <c r="J131"/>
  <c r="L131" s="1"/>
  <c r="J132"/>
  <c r="L132" s="1"/>
  <c r="J133"/>
  <c r="L133" s="1"/>
  <c r="J134"/>
  <c r="J135"/>
  <c r="L135" s="1"/>
  <c r="J136"/>
  <c r="L136" s="1"/>
  <c r="L125"/>
  <c r="J123"/>
  <c r="L123" s="1"/>
  <c r="J126"/>
  <c r="L126" s="1"/>
  <c r="J127"/>
  <c r="L127" s="1"/>
  <c r="J128"/>
  <c r="L128" s="1"/>
  <c r="J122"/>
  <c r="L122" s="1"/>
  <c r="J124"/>
  <c r="L124" s="1"/>
  <c r="J125"/>
  <c r="L115"/>
  <c r="L116"/>
  <c r="L117"/>
  <c r="L120"/>
  <c r="J115"/>
  <c r="J117"/>
  <c r="J119"/>
  <c r="L119" s="1"/>
  <c r="J114"/>
  <c r="L114" s="1"/>
  <c r="J116"/>
  <c r="J118"/>
  <c r="L118" s="1"/>
  <c r="L107"/>
  <c r="L111"/>
  <c r="J106"/>
  <c r="L106" s="1"/>
  <c r="J107"/>
  <c r="J108"/>
  <c r="L108" s="1"/>
  <c r="J109"/>
  <c r="L109" s="1"/>
  <c r="J110"/>
  <c r="L110" s="1"/>
  <c r="J111"/>
  <c r="J112"/>
  <c r="L112" s="1"/>
  <c r="L99"/>
  <c r="L100"/>
  <c r="L103"/>
  <c r="L104"/>
  <c r="J98"/>
  <c r="L98" s="1"/>
  <c r="J100"/>
  <c r="J102"/>
  <c r="L102" s="1"/>
  <c r="J103"/>
  <c r="J104"/>
  <c r="J99"/>
  <c r="J101"/>
  <c r="L101" s="1"/>
  <c r="K90"/>
  <c r="K92"/>
  <c r="K94"/>
  <c r="K95"/>
  <c r="K96"/>
  <c r="K91"/>
  <c r="K93"/>
  <c r="L83"/>
  <c r="L84"/>
  <c r="L87"/>
  <c r="L88"/>
  <c r="J82"/>
  <c r="L82" s="1"/>
  <c r="J84"/>
  <c r="J86"/>
  <c r="L86" s="1"/>
  <c r="J87"/>
  <c r="J88"/>
  <c r="J83"/>
  <c r="J85"/>
  <c r="L85" s="1"/>
  <c r="L77"/>
  <c r="L78"/>
  <c r="K74"/>
  <c r="J76"/>
  <c r="L76" s="1"/>
  <c r="J77"/>
  <c r="J78"/>
  <c r="J79"/>
  <c r="L79" s="1"/>
  <c r="J80"/>
  <c r="L80" s="1"/>
  <c r="K75"/>
  <c r="L69"/>
  <c r="J66"/>
  <c r="L66" s="1"/>
  <c r="J67"/>
  <c r="L67" s="1"/>
  <c r="J68"/>
  <c r="L68" s="1"/>
  <c r="J69"/>
  <c r="J70"/>
  <c r="L70" s="1"/>
  <c r="J71"/>
  <c r="L71" s="1"/>
  <c r="J72"/>
  <c r="L72" s="1"/>
  <c r="L60"/>
  <c r="L61"/>
  <c r="L62"/>
  <c r="J58"/>
  <c r="L58" s="1"/>
  <c r="J60"/>
  <c r="J63"/>
  <c r="L63" s="1"/>
  <c r="J64"/>
  <c r="L64" s="1"/>
  <c r="I59"/>
  <c r="L59" s="1"/>
  <c r="J61"/>
  <c r="J62"/>
  <c r="L51"/>
  <c r="L55"/>
  <c r="J50"/>
  <c r="L50" s="1"/>
  <c r="J51"/>
  <c r="J52"/>
  <c r="L52" s="1"/>
  <c r="J53"/>
  <c r="L53" s="1"/>
  <c r="H53" i="22" s="1"/>
  <c r="J54" i="20"/>
  <c r="L54" s="1"/>
  <c r="J55"/>
  <c r="J56"/>
  <c r="L56" s="1"/>
  <c r="L42"/>
  <c r="L43"/>
  <c r="L46"/>
  <c r="J42"/>
  <c r="J44"/>
  <c r="L44" s="1"/>
  <c r="J47"/>
  <c r="L47" s="1"/>
  <c r="J48"/>
  <c r="L48" s="1"/>
  <c r="J43"/>
  <c r="J45"/>
  <c r="L45" s="1"/>
  <c r="J46"/>
  <c r="K35"/>
  <c r="I34"/>
  <c r="L34" s="1"/>
  <c r="I36"/>
  <c r="L36" s="1"/>
  <c r="I37"/>
  <c r="L37" s="1"/>
  <c r="I38"/>
  <c r="L38" s="1"/>
  <c r="I39"/>
  <c r="L39" s="1"/>
  <c r="I40"/>
  <c r="L40" s="1"/>
  <c r="L30"/>
  <c r="L29"/>
  <c r="I27"/>
  <c r="L27" s="1"/>
  <c r="K26"/>
  <c r="K27"/>
  <c r="K28"/>
  <c r="K29"/>
  <c r="K30"/>
  <c r="K31"/>
  <c r="K32"/>
  <c r="J26"/>
  <c r="L26" s="1"/>
  <c r="J28"/>
  <c r="L28" s="1"/>
  <c r="J31"/>
  <c r="L31" s="1"/>
  <c r="J32"/>
  <c r="L32" s="1"/>
  <c r="J18"/>
  <c r="J19"/>
  <c r="J20"/>
  <c r="J21"/>
  <c r="J22"/>
  <c r="J23"/>
  <c r="J24"/>
  <c r="I18"/>
  <c r="I19"/>
  <c r="L19" s="1"/>
  <c r="I20"/>
  <c r="L20" s="1"/>
  <c r="I21"/>
  <c r="I22"/>
  <c r="I23"/>
  <c r="L23" s="1"/>
  <c r="I24"/>
  <c r="L24" s="1"/>
  <c r="L13"/>
  <c r="L10"/>
  <c r="L11"/>
  <c r="L12"/>
  <c r="L14"/>
  <c r="L16"/>
  <c r="K10"/>
  <c r="K11"/>
  <c r="K12"/>
  <c r="K13"/>
  <c r="K14"/>
  <c r="K15"/>
  <c r="K16"/>
  <c r="J15"/>
  <c r="L15" s="1"/>
  <c r="J16"/>
  <c r="I53" i="22"/>
  <c r="L53" s="1"/>
  <c r="G53"/>
  <c r="F53"/>
  <c r="E53"/>
  <c r="D53"/>
  <c r="C53"/>
  <c r="B53"/>
  <c r="A53"/>
  <c r="N52"/>
  <c r="M52"/>
  <c r="L21" i="20" l="1"/>
  <c r="L22"/>
  <c r="L18"/>
  <c r="O53" i="22"/>
  <c r="Q53" s="1"/>
  <c r="H52"/>
  <c r="G52"/>
  <c r="I52" s="1"/>
  <c r="L52" s="1"/>
  <c r="F52"/>
  <c r="E52"/>
  <c r="D52"/>
  <c r="C52"/>
  <c r="B52"/>
  <c r="A52"/>
  <c r="N51"/>
  <c r="M51"/>
  <c r="P53" l="1"/>
  <c r="R53" s="1"/>
  <c r="Q52"/>
  <c r="O52"/>
  <c r="P52" s="1"/>
  <c r="I51"/>
  <c r="L51" s="1"/>
  <c r="H51"/>
  <c r="G51"/>
  <c r="F51"/>
  <c r="E51"/>
  <c r="D51"/>
  <c r="C51"/>
  <c r="B51"/>
  <c r="A51"/>
  <c r="N50"/>
  <c r="M50"/>
  <c r="Q51" l="1"/>
  <c r="O51"/>
  <c r="P51" s="1"/>
  <c r="R52"/>
  <c r="H50"/>
  <c r="G50"/>
  <c r="I50" s="1"/>
  <c r="L50" s="1"/>
  <c r="F50"/>
  <c r="E50"/>
  <c r="D50"/>
  <c r="C50"/>
  <c r="B50"/>
  <c r="A50"/>
  <c r="O50" l="1"/>
  <c r="P50" s="1"/>
  <c r="R51"/>
  <c r="N48"/>
  <c r="M48"/>
  <c r="Q50" l="1"/>
  <c r="R50" s="1"/>
  <c r="H48"/>
  <c r="G48"/>
  <c r="I48" s="1"/>
  <c r="L48" s="1"/>
  <c r="F48"/>
  <c r="E48"/>
  <c r="D48"/>
  <c r="C48"/>
  <c r="B48"/>
  <c r="A48"/>
  <c r="N47"/>
  <c r="M47"/>
  <c r="O48" l="1"/>
  <c r="Q48" s="1"/>
  <c r="H47"/>
  <c r="G47"/>
  <c r="I47" s="1"/>
  <c r="F47"/>
  <c r="E47"/>
  <c r="D47"/>
  <c r="C47"/>
  <c r="B47"/>
  <c r="A47"/>
  <c r="N46"/>
  <c r="M46"/>
  <c r="L47" l="1"/>
  <c r="P48"/>
  <c r="R48" s="1"/>
  <c r="H46"/>
  <c r="G46"/>
  <c r="I46" s="1"/>
  <c r="F46"/>
  <c r="E46"/>
  <c r="D46"/>
  <c r="C46"/>
  <c r="B46"/>
  <c r="A46"/>
  <c r="N45"/>
  <c r="M45"/>
  <c r="L46" l="1"/>
  <c r="O47"/>
  <c r="Q47" s="1"/>
  <c r="H45"/>
  <c r="G45"/>
  <c r="I45" s="1"/>
  <c r="L45" s="1"/>
  <c r="F45"/>
  <c r="E45"/>
  <c r="D45"/>
  <c r="C45"/>
  <c r="B45"/>
  <c r="A45"/>
  <c r="N44"/>
  <c r="M44"/>
  <c r="R47" l="1"/>
  <c r="P47"/>
  <c r="O45"/>
  <c r="P45" s="1"/>
  <c r="O46"/>
  <c r="Q46" s="1"/>
  <c r="H44"/>
  <c r="G44"/>
  <c r="I44" s="1"/>
  <c r="L44" s="1"/>
  <c r="F44"/>
  <c r="E44"/>
  <c r="D44"/>
  <c r="C44"/>
  <c r="B44"/>
  <c r="A44"/>
  <c r="N43"/>
  <c r="M43"/>
  <c r="R46" l="1"/>
  <c r="P46"/>
  <c r="O44"/>
  <c r="Q44" s="1"/>
  <c r="Q45"/>
  <c r="R45" s="1"/>
  <c r="I43"/>
  <c r="L43" s="1"/>
  <c r="H43"/>
  <c r="G43"/>
  <c r="F43"/>
  <c r="E43"/>
  <c r="D43"/>
  <c r="C43"/>
  <c r="B43"/>
  <c r="A43"/>
  <c r="N42"/>
  <c r="M42"/>
  <c r="Q43" l="1"/>
  <c r="R43" s="1"/>
  <c r="P43"/>
  <c r="O43"/>
  <c r="P44"/>
  <c r="R44" s="1"/>
  <c r="H42"/>
  <c r="G42"/>
  <c r="I42" s="1"/>
  <c r="L42" s="1"/>
  <c r="F42"/>
  <c r="E42"/>
  <c r="D42"/>
  <c r="C42"/>
  <c r="B42"/>
  <c r="A42"/>
  <c r="O42" l="1"/>
  <c r="P42" s="1"/>
  <c r="N40"/>
  <c r="M40"/>
  <c r="Q42" l="1"/>
  <c r="R42" s="1"/>
  <c r="H40"/>
  <c r="G40"/>
  <c r="I40" s="1"/>
  <c r="F40"/>
  <c r="E40"/>
  <c r="D40"/>
  <c r="C40"/>
  <c r="B40"/>
  <c r="A40"/>
  <c r="N39"/>
  <c r="M39"/>
  <c r="L40" l="1"/>
  <c r="H39"/>
  <c r="G39"/>
  <c r="I39" s="1"/>
  <c r="F39"/>
  <c r="E39"/>
  <c r="D39"/>
  <c r="C39"/>
  <c r="B39"/>
  <c r="A39"/>
  <c r="N38"/>
  <c r="M38"/>
  <c r="O40" l="1"/>
  <c r="Q40" s="1"/>
  <c r="L39"/>
  <c r="I38"/>
  <c r="L38" s="1"/>
  <c r="H38"/>
  <c r="G38"/>
  <c r="F38"/>
  <c r="E38"/>
  <c r="D38"/>
  <c r="C38"/>
  <c r="B38"/>
  <c r="A38"/>
  <c r="N37"/>
  <c r="M37"/>
  <c r="P40" l="1"/>
  <c r="R40" s="1"/>
  <c r="O38"/>
  <c r="P38" s="1"/>
  <c r="O39"/>
  <c r="P39" s="1"/>
  <c r="H37"/>
  <c r="G37"/>
  <c r="I37" s="1"/>
  <c r="L37" s="1"/>
  <c r="F37"/>
  <c r="E37"/>
  <c r="D37"/>
  <c r="C37"/>
  <c r="B37"/>
  <c r="A37"/>
  <c r="N36"/>
  <c r="M36"/>
  <c r="Q39" l="1"/>
  <c r="R39" s="1"/>
  <c r="O37"/>
  <c r="Q37" s="1"/>
  <c r="Q38"/>
  <c r="R38" s="1"/>
  <c r="H36"/>
  <c r="G36"/>
  <c r="I36" s="1"/>
  <c r="L36" s="1"/>
  <c r="F36"/>
  <c r="E36"/>
  <c r="D36"/>
  <c r="C36"/>
  <c r="B36"/>
  <c r="A36"/>
  <c r="N35"/>
  <c r="M35"/>
  <c r="Q36" l="1"/>
  <c r="R36" s="1"/>
  <c r="P36"/>
  <c r="O36"/>
  <c r="R37"/>
  <c r="P37"/>
  <c r="H35"/>
  <c r="G35"/>
  <c r="I35" s="1"/>
  <c r="F35"/>
  <c r="E35"/>
  <c r="D35"/>
  <c r="C35"/>
  <c r="B35"/>
  <c r="A35"/>
  <c r="N34"/>
  <c r="M34"/>
  <c r="L35" l="1"/>
  <c r="H34"/>
  <c r="G34"/>
  <c r="I34" s="1"/>
  <c r="L34" s="1"/>
  <c r="F34"/>
  <c r="E34"/>
  <c r="D34"/>
  <c r="C34"/>
  <c r="B34"/>
  <c r="A34"/>
  <c r="P35" l="1"/>
  <c r="Q35"/>
  <c r="R35" s="1"/>
  <c r="O35"/>
  <c r="P34"/>
  <c r="O34"/>
  <c r="Q34" s="1"/>
  <c r="R34" s="1"/>
  <c r="N32"/>
  <c r="M32"/>
  <c r="H32" l="1"/>
  <c r="G32"/>
  <c r="I32" s="1"/>
  <c r="L32" s="1"/>
  <c r="F32"/>
  <c r="E32"/>
  <c r="D32"/>
  <c r="C32"/>
  <c r="B32"/>
  <c r="A32"/>
  <c r="N31"/>
  <c r="M31"/>
  <c r="Q32" l="1"/>
  <c r="O32"/>
  <c r="P32" s="1"/>
  <c r="H31"/>
  <c r="G31"/>
  <c r="I31" s="1"/>
  <c r="F31"/>
  <c r="E31"/>
  <c r="D31"/>
  <c r="C31"/>
  <c r="B31"/>
  <c r="A31"/>
  <c r="N30"/>
  <c r="M30"/>
  <c r="L31" l="1"/>
  <c r="R32"/>
  <c r="H30"/>
  <c r="G30"/>
  <c r="I30" s="1"/>
  <c r="L30" s="1"/>
  <c r="F30"/>
  <c r="E30"/>
  <c r="D30"/>
  <c r="C30"/>
  <c r="B30"/>
  <c r="A30"/>
  <c r="N29"/>
  <c r="M29"/>
  <c r="P31" l="1"/>
  <c r="O31"/>
  <c r="Q31" s="1"/>
  <c r="R31" s="1"/>
  <c r="O30"/>
  <c r="Q30" s="1"/>
  <c r="H29"/>
  <c r="G29"/>
  <c r="I29" s="1"/>
  <c r="F29"/>
  <c r="E29"/>
  <c r="D29"/>
  <c r="C29"/>
  <c r="B29"/>
  <c r="A29"/>
  <c r="N28"/>
  <c r="M28"/>
  <c r="L29" l="1"/>
  <c r="O29" s="1"/>
  <c r="P29" s="1"/>
  <c r="P30"/>
  <c r="R30" s="1"/>
  <c r="I28"/>
  <c r="L28" s="1"/>
  <c r="H28"/>
  <c r="G28"/>
  <c r="F28"/>
  <c r="E28"/>
  <c r="D28"/>
  <c r="C28"/>
  <c r="B28"/>
  <c r="A28"/>
  <c r="N27"/>
  <c r="M27"/>
  <c r="Q29" l="1"/>
  <c r="R29" s="1"/>
  <c r="O28"/>
  <c r="Q28" s="1"/>
  <c r="H27"/>
  <c r="G27"/>
  <c r="I27" s="1"/>
  <c r="F27"/>
  <c r="E27"/>
  <c r="D27"/>
  <c r="C27"/>
  <c r="B27"/>
  <c r="A27"/>
  <c r="N26"/>
  <c r="M26"/>
  <c r="P28" l="1"/>
  <c r="R28" s="1"/>
  <c r="L27"/>
  <c r="H26"/>
  <c r="G26"/>
  <c r="I26" s="1"/>
  <c r="F26"/>
  <c r="E26"/>
  <c r="D26"/>
  <c r="C26"/>
  <c r="B26"/>
  <c r="A26"/>
  <c r="L26" l="1"/>
  <c r="Q26" s="1"/>
  <c r="O26"/>
  <c r="P26" s="1"/>
  <c r="O27"/>
  <c r="P27" s="1"/>
  <c r="N24"/>
  <c r="M24"/>
  <c r="R26" l="1"/>
  <c r="Q27"/>
  <c r="R27" s="1"/>
  <c r="H24"/>
  <c r="G24"/>
  <c r="I24" s="1"/>
  <c r="L24" s="1"/>
  <c r="F24"/>
  <c r="E24"/>
  <c r="D24"/>
  <c r="C24"/>
  <c r="B24"/>
  <c r="A24"/>
  <c r="N23"/>
  <c r="M23"/>
  <c r="O24" l="1"/>
  <c r="Q24" s="1"/>
  <c r="I23"/>
  <c r="L23" s="1"/>
  <c r="H23"/>
  <c r="G23"/>
  <c r="F23"/>
  <c r="E23"/>
  <c r="D23"/>
  <c r="C23"/>
  <c r="B23"/>
  <c r="A23"/>
  <c r="N22"/>
  <c r="M22"/>
  <c r="O23" l="1"/>
  <c r="P23" s="1"/>
  <c r="R24"/>
  <c r="P24"/>
  <c r="H22"/>
  <c r="G22"/>
  <c r="I22" s="1"/>
  <c r="L22" s="1"/>
  <c r="F22"/>
  <c r="E22"/>
  <c r="D22"/>
  <c r="C22"/>
  <c r="B22"/>
  <c r="A22"/>
  <c r="N21"/>
  <c r="M21"/>
  <c r="Q23" l="1"/>
  <c r="O22"/>
  <c r="Q22" s="1"/>
  <c r="R23"/>
  <c r="H21"/>
  <c r="G21"/>
  <c r="I21" s="1"/>
  <c r="L21" s="1"/>
  <c r="F21"/>
  <c r="E21"/>
  <c r="D21"/>
  <c r="C21"/>
  <c r="B21"/>
  <c r="A21"/>
  <c r="N20"/>
  <c r="M20"/>
  <c r="P22" l="1"/>
  <c r="R22" s="1"/>
  <c r="O21"/>
  <c r="P21" s="1"/>
  <c r="H20"/>
  <c r="G20"/>
  <c r="I20" s="1"/>
  <c r="F20"/>
  <c r="E20"/>
  <c r="D20"/>
  <c r="C20"/>
  <c r="B20"/>
  <c r="A20"/>
  <c r="N19"/>
  <c r="M19"/>
  <c r="Q21" l="1"/>
  <c r="R21" s="1"/>
  <c r="L20"/>
  <c r="I19"/>
  <c r="L19" s="1"/>
  <c r="H19"/>
  <c r="G19"/>
  <c r="F19"/>
  <c r="E19"/>
  <c r="D19"/>
  <c r="C19"/>
  <c r="B19"/>
  <c r="A19"/>
  <c r="N18"/>
  <c r="M18"/>
  <c r="P19" l="1"/>
  <c r="O19"/>
  <c r="Q19" s="1"/>
  <c r="P20"/>
  <c r="Q20"/>
  <c r="O20"/>
  <c r="H18"/>
  <c r="G18"/>
  <c r="I18" s="1"/>
  <c r="F18"/>
  <c r="E18"/>
  <c r="D18"/>
  <c r="C18"/>
  <c r="B18"/>
  <c r="A18"/>
  <c r="L18" l="1"/>
  <c r="R20"/>
  <c r="R19"/>
  <c r="N16"/>
  <c r="M16"/>
  <c r="P18" l="1"/>
  <c r="Q18"/>
  <c r="O18"/>
  <c r="H16"/>
  <c r="G16"/>
  <c r="I16" s="1"/>
  <c r="L16" s="1"/>
  <c r="F16"/>
  <c r="E16"/>
  <c r="D16"/>
  <c r="C16"/>
  <c r="B16"/>
  <c r="A16"/>
  <c r="N15"/>
  <c r="M15"/>
  <c r="O16" l="1"/>
  <c r="Q16" s="1"/>
  <c r="R18"/>
  <c r="H15"/>
  <c r="G15"/>
  <c r="I15" s="1"/>
  <c r="F15"/>
  <c r="E15"/>
  <c r="D15"/>
  <c r="C15"/>
  <c r="B15"/>
  <c r="A15"/>
  <c r="N14"/>
  <c r="M14"/>
  <c r="L15" l="1"/>
  <c r="P16"/>
  <c r="R16" s="1"/>
  <c r="O15"/>
  <c r="Q15" s="1"/>
  <c r="H14"/>
  <c r="G14"/>
  <c r="I14" s="1"/>
  <c r="L14" s="1"/>
  <c r="F14"/>
  <c r="E14"/>
  <c r="D14"/>
  <c r="C14"/>
  <c r="B14"/>
  <c r="A14"/>
  <c r="N13"/>
  <c r="M13"/>
  <c r="O14" l="1"/>
  <c r="Q14" s="1"/>
  <c r="P15"/>
  <c r="R15" s="1"/>
  <c r="H13"/>
  <c r="G13"/>
  <c r="I13" s="1"/>
  <c r="L13" s="1"/>
  <c r="F13"/>
  <c r="E13"/>
  <c r="D13"/>
  <c r="C13"/>
  <c r="B13"/>
  <c r="A13"/>
  <c r="N12"/>
  <c r="M12"/>
  <c r="R14" l="1"/>
  <c r="P14"/>
  <c r="Q13"/>
  <c r="O13"/>
  <c r="P13" s="1"/>
  <c r="H12"/>
  <c r="G12"/>
  <c r="I12" s="1"/>
  <c r="L12" s="1"/>
  <c r="F12"/>
  <c r="E12"/>
  <c r="D12"/>
  <c r="C12"/>
  <c r="B12"/>
  <c r="A12"/>
  <c r="N11"/>
  <c r="M11"/>
  <c r="O12" l="1"/>
  <c r="Q12" s="1"/>
  <c r="R13"/>
  <c r="H11"/>
  <c r="G11"/>
  <c r="I11" s="1"/>
  <c r="L11" s="1"/>
  <c r="F11"/>
  <c r="E11"/>
  <c r="D11"/>
  <c r="C11"/>
  <c r="B11"/>
  <c r="A11"/>
  <c r="N10"/>
  <c r="M10"/>
  <c r="P12" l="1"/>
  <c r="O11"/>
  <c r="Q11" s="1"/>
  <c r="R12"/>
  <c r="H10"/>
  <c r="G10"/>
  <c r="I10" s="1"/>
  <c r="L10" s="1"/>
  <c r="F10"/>
  <c r="E10"/>
  <c r="D10"/>
  <c r="C10"/>
  <c r="B10"/>
  <c r="A10"/>
  <c r="R11" l="1"/>
  <c r="P11"/>
  <c r="O10"/>
  <c r="P10" s="1"/>
  <c r="N8"/>
  <c r="M8"/>
  <c r="Q10" l="1"/>
  <c r="R10" s="1"/>
  <c r="N7"/>
  <c r="M7"/>
  <c r="O7" l="1"/>
  <c r="P7" s="1"/>
  <c r="N6"/>
  <c r="M6"/>
  <c r="O6" l="1"/>
  <c r="P6" s="1"/>
  <c r="Q6"/>
  <c r="R6" s="1"/>
  <c r="Q7"/>
  <c r="R7" s="1"/>
  <c r="N5"/>
  <c r="M5"/>
  <c r="O5" l="1"/>
  <c r="P5" s="1"/>
  <c r="Q5"/>
  <c r="R5" s="1"/>
  <c r="N4"/>
  <c r="M4"/>
  <c r="O4" l="1"/>
  <c r="P4" s="1"/>
  <c r="N3"/>
  <c r="M3"/>
  <c r="Q3" l="1"/>
  <c r="R3" s="1"/>
  <c r="O3"/>
  <c r="P3" s="1"/>
  <c r="Q4"/>
  <c r="R4" s="1"/>
  <c r="Q2"/>
  <c r="O2"/>
  <c r="P2" s="1"/>
  <c r="R2" s="1"/>
  <c r="F8"/>
  <c r="E8"/>
  <c r="F7"/>
  <c r="E7"/>
  <c r="F6"/>
  <c r="E6"/>
  <c r="F5"/>
  <c r="E5"/>
  <c r="F4"/>
  <c r="E4"/>
  <c r="F3"/>
  <c r="E3"/>
  <c r="F2"/>
  <c r="E2"/>
  <c r="H8"/>
  <c r="G8"/>
  <c r="I8" s="1"/>
  <c r="I7"/>
  <c r="H7"/>
  <c r="G7"/>
  <c r="H6"/>
  <c r="G6"/>
  <c r="I6" s="1"/>
  <c r="I5"/>
  <c r="L5" s="1"/>
  <c r="H5"/>
  <c r="G5"/>
  <c r="H4"/>
  <c r="G4"/>
  <c r="I4" s="1"/>
  <c r="I3"/>
  <c r="H3"/>
  <c r="G3"/>
  <c r="I2"/>
  <c r="L2" s="1"/>
  <c r="H2"/>
  <c r="G2"/>
  <c r="H8" i="20"/>
  <c r="G8"/>
  <c r="F8"/>
  <c r="K8" s="1"/>
  <c r="E8"/>
  <c r="H7"/>
  <c r="G7"/>
  <c r="F7"/>
  <c r="E7"/>
  <c r="H6"/>
  <c r="G6"/>
  <c r="K6" s="1"/>
  <c r="F6"/>
  <c r="E6"/>
  <c r="H5"/>
  <c r="G5"/>
  <c r="I5" s="1"/>
  <c r="F5"/>
  <c r="E5"/>
  <c r="H4"/>
  <c r="G4"/>
  <c r="F4"/>
  <c r="J4" s="1"/>
  <c r="E4"/>
  <c r="H3"/>
  <c r="G3"/>
  <c r="F3"/>
  <c r="I3" s="1"/>
  <c r="E3"/>
  <c r="H2"/>
  <c r="G2"/>
  <c r="K2" s="1"/>
  <c r="F2"/>
  <c r="E2"/>
  <c r="K7"/>
  <c r="A1" i="22"/>
  <c r="B1"/>
  <c r="C1"/>
  <c r="D1"/>
  <c r="A2"/>
  <c r="B2"/>
  <c r="C2"/>
  <c r="D2"/>
  <c r="A3"/>
  <c r="B3"/>
  <c r="C3"/>
  <c r="D3"/>
  <c r="A4"/>
  <c r="B4"/>
  <c r="C4"/>
  <c r="D4"/>
  <c r="A5"/>
  <c r="B5"/>
  <c r="C5"/>
  <c r="D5"/>
  <c r="A6"/>
  <c r="B6"/>
  <c r="C6"/>
  <c r="D6"/>
  <c r="A7"/>
  <c r="B7"/>
  <c r="C7"/>
  <c r="D7"/>
  <c r="A8"/>
  <c r="B8"/>
  <c r="C8"/>
  <c r="D8"/>
  <c r="B16" i="12"/>
  <c r="B15"/>
  <c r="N2" i="22"/>
  <c r="M2"/>
  <c r="L4" l="1"/>
  <c r="L8"/>
  <c r="L6"/>
  <c r="L3"/>
  <c r="L7"/>
  <c r="K3" i="20"/>
  <c r="I2"/>
  <c r="J7"/>
  <c r="I4"/>
  <c r="L4" s="1"/>
  <c r="J2"/>
  <c r="K5"/>
  <c r="J3"/>
  <c r="L3" s="1"/>
  <c r="K4"/>
  <c r="J6"/>
  <c r="J8"/>
  <c r="I6"/>
  <c r="I8"/>
  <c r="J5"/>
  <c r="L5" s="1"/>
  <c r="I7"/>
  <c r="D200"/>
  <c r="D199"/>
  <c r="D198"/>
  <c r="D197"/>
  <c r="D196"/>
  <c r="D195"/>
  <c r="D194"/>
  <c r="D192"/>
  <c r="D191"/>
  <c r="D190"/>
  <c r="D189"/>
  <c r="D188"/>
  <c r="D187"/>
  <c r="D186"/>
  <c r="D184"/>
  <c r="D183"/>
  <c r="D182"/>
  <c r="D181"/>
  <c r="D180"/>
  <c r="D179"/>
  <c r="D178"/>
  <c r="D176"/>
  <c r="D175"/>
  <c r="D174"/>
  <c r="D173"/>
  <c r="D172"/>
  <c r="D171"/>
  <c r="D170"/>
  <c r="D168"/>
  <c r="D167"/>
  <c r="D166"/>
  <c r="D165"/>
  <c r="D164"/>
  <c r="D163"/>
  <c r="D162"/>
  <c r="D160"/>
  <c r="D159"/>
  <c r="D158"/>
  <c r="D157"/>
  <c r="D156"/>
  <c r="D155"/>
  <c r="D154"/>
  <c r="D152"/>
  <c r="D151"/>
  <c r="D150"/>
  <c r="D149"/>
  <c r="D148"/>
  <c r="D147"/>
  <c r="D146"/>
  <c r="D144"/>
  <c r="D143"/>
  <c r="D142"/>
  <c r="D141"/>
  <c r="D140"/>
  <c r="D139"/>
  <c r="D138"/>
  <c r="D136"/>
  <c r="D135"/>
  <c r="D134"/>
  <c r="D133"/>
  <c r="D132"/>
  <c r="D131"/>
  <c r="D130"/>
  <c r="D128"/>
  <c r="D127"/>
  <c r="D126"/>
  <c r="D125"/>
  <c r="D124"/>
  <c r="D123"/>
  <c r="D122"/>
  <c r="D120"/>
  <c r="D119"/>
  <c r="D118"/>
  <c r="D117"/>
  <c r="D116"/>
  <c r="D115"/>
  <c r="D114"/>
  <c r="D112"/>
  <c r="D111"/>
  <c r="D110"/>
  <c r="D109"/>
  <c r="D108"/>
  <c r="D107"/>
  <c r="D106"/>
  <c r="D104"/>
  <c r="D103"/>
  <c r="D102"/>
  <c r="D101"/>
  <c r="D100"/>
  <c r="D99"/>
  <c r="D98"/>
  <c r="D96"/>
  <c r="D95"/>
  <c r="D94"/>
  <c r="D93"/>
  <c r="D92"/>
  <c r="D91"/>
  <c r="D90"/>
  <c r="D88"/>
  <c r="D87"/>
  <c r="D86"/>
  <c r="D85"/>
  <c r="D84"/>
  <c r="D83"/>
  <c r="D82"/>
  <c r="D80"/>
  <c r="D79"/>
  <c r="D78"/>
  <c r="D77"/>
  <c r="D76"/>
  <c r="D75"/>
  <c r="D74"/>
  <c r="D72"/>
  <c r="D71"/>
  <c r="D70"/>
  <c r="D69"/>
  <c r="D68"/>
  <c r="D67"/>
  <c r="D66"/>
  <c r="D64"/>
  <c r="D63"/>
  <c r="D62"/>
  <c r="D61"/>
  <c r="D60"/>
  <c r="D59"/>
  <c r="D58"/>
  <c r="D56"/>
  <c r="D55"/>
  <c r="D54"/>
  <c r="D53"/>
  <c r="D52"/>
  <c r="D51"/>
  <c r="D50"/>
  <c r="D48"/>
  <c r="D47"/>
  <c r="D46"/>
  <c r="D45"/>
  <c r="D44"/>
  <c r="D43"/>
  <c r="D42"/>
  <c r="D40"/>
  <c r="D39"/>
  <c r="D38"/>
  <c r="D37"/>
  <c r="D36"/>
  <c r="D35"/>
  <c r="D34"/>
  <c r="D32"/>
  <c r="D31"/>
  <c r="D30"/>
  <c r="D29"/>
  <c r="D28"/>
  <c r="D27"/>
  <c r="D26"/>
  <c r="D24"/>
  <c r="D23"/>
  <c r="D22"/>
  <c r="D21"/>
  <c r="D20"/>
  <c r="D19"/>
  <c r="D18"/>
  <c r="D16"/>
  <c r="D15"/>
  <c r="D14"/>
  <c r="D13"/>
  <c r="D12"/>
  <c r="D11"/>
  <c r="D10"/>
  <c r="D8"/>
  <c r="D7"/>
  <c r="D6"/>
  <c r="D5"/>
  <c r="D4"/>
  <c r="D3"/>
  <c r="D2"/>
  <c r="O200"/>
  <c r="N200"/>
  <c r="M200"/>
  <c r="B200"/>
  <c r="P199"/>
  <c r="W199" s="1"/>
  <c r="O199"/>
  <c r="B199"/>
  <c r="B198"/>
  <c r="N197"/>
  <c r="M197"/>
  <c r="B197"/>
  <c r="P196"/>
  <c r="W196" s="1"/>
  <c r="M196"/>
  <c r="B196"/>
  <c r="M195"/>
  <c r="B195"/>
  <c r="DC194"/>
  <c r="N194"/>
  <c r="M194"/>
  <c r="B194"/>
  <c r="O192"/>
  <c r="N192"/>
  <c r="M192"/>
  <c r="B192"/>
  <c r="B191"/>
  <c r="P190"/>
  <c r="W190" s="1"/>
  <c r="M190"/>
  <c r="B190"/>
  <c r="N189"/>
  <c r="M189"/>
  <c r="B189"/>
  <c r="B188"/>
  <c r="M188" s="1"/>
  <c r="P187"/>
  <c r="W187" s="1"/>
  <c r="M187"/>
  <c r="B187"/>
  <c r="DC186"/>
  <c r="N186"/>
  <c r="M186"/>
  <c r="B186"/>
  <c r="O184"/>
  <c r="N184"/>
  <c r="B184"/>
  <c r="M184" s="1"/>
  <c r="P183"/>
  <c r="W183" s="1"/>
  <c r="O183"/>
  <c r="B183"/>
  <c r="P182"/>
  <c r="W182" s="1"/>
  <c r="M182"/>
  <c r="B182"/>
  <c r="N181"/>
  <c r="M181"/>
  <c r="B181"/>
  <c r="W180"/>
  <c r="P180"/>
  <c r="M180"/>
  <c r="B180"/>
  <c r="B179"/>
  <c r="DC178"/>
  <c r="N178"/>
  <c r="M178"/>
  <c r="B178"/>
  <c r="O176"/>
  <c r="N176"/>
  <c r="M176"/>
  <c r="B176"/>
  <c r="B175"/>
  <c r="M174"/>
  <c r="B174"/>
  <c r="N173"/>
  <c r="M173"/>
  <c r="B173"/>
  <c r="B172"/>
  <c r="P171"/>
  <c r="W171" s="1"/>
  <c r="M171"/>
  <c r="B171"/>
  <c r="DC170"/>
  <c r="P170"/>
  <c r="W170" s="1"/>
  <c r="M170"/>
  <c r="B170"/>
  <c r="N168"/>
  <c r="M168"/>
  <c r="B168"/>
  <c r="O167"/>
  <c r="N167"/>
  <c r="M167"/>
  <c r="B167"/>
  <c r="B166"/>
  <c r="B165"/>
  <c r="P164"/>
  <c r="W164" s="1"/>
  <c r="O164"/>
  <c r="B164"/>
  <c r="B163"/>
  <c r="DC162"/>
  <c r="B162"/>
  <c r="N160"/>
  <c r="M160"/>
  <c r="B160"/>
  <c r="O159"/>
  <c r="N159"/>
  <c r="M159"/>
  <c r="R159" s="1"/>
  <c r="U159" s="1"/>
  <c r="B159"/>
  <c r="P158"/>
  <c r="W158" s="1"/>
  <c r="O158"/>
  <c r="B158"/>
  <c r="P157"/>
  <c r="W157" s="1"/>
  <c r="M157"/>
  <c r="B157"/>
  <c r="B156"/>
  <c r="P155"/>
  <c r="W155" s="1"/>
  <c r="O155"/>
  <c r="B155"/>
  <c r="P154"/>
  <c r="W154" s="1"/>
  <c r="O154"/>
  <c r="M154"/>
  <c r="B154"/>
  <c r="W152"/>
  <c r="P152"/>
  <c r="N152"/>
  <c r="M152"/>
  <c r="B152"/>
  <c r="O151"/>
  <c r="R151" s="1"/>
  <c r="N151"/>
  <c r="M151"/>
  <c r="B151"/>
  <c r="N150"/>
  <c r="B150"/>
  <c r="O149"/>
  <c r="M149"/>
  <c r="B149"/>
  <c r="P149" s="1"/>
  <c r="W149" s="1"/>
  <c r="B148"/>
  <c r="P147"/>
  <c r="W147" s="1"/>
  <c r="O147"/>
  <c r="N147"/>
  <c r="B147"/>
  <c r="M147" s="1"/>
  <c r="P146"/>
  <c r="W146" s="1"/>
  <c r="O146"/>
  <c r="M146"/>
  <c r="B146"/>
  <c r="P144"/>
  <c r="W144" s="1"/>
  <c r="N144"/>
  <c r="M144"/>
  <c r="B144"/>
  <c r="R143"/>
  <c r="O143"/>
  <c r="N143"/>
  <c r="M143"/>
  <c r="B143"/>
  <c r="N142"/>
  <c r="B142"/>
  <c r="O141"/>
  <c r="M141"/>
  <c r="B141"/>
  <c r="P141" s="1"/>
  <c r="W141" s="1"/>
  <c r="N140"/>
  <c r="M140"/>
  <c r="B140"/>
  <c r="N139"/>
  <c r="M139"/>
  <c r="B139"/>
  <c r="O138"/>
  <c r="R138" s="1"/>
  <c r="N138"/>
  <c r="M138"/>
  <c r="B138"/>
  <c r="B136"/>
  <c r="B135"/>
  <c r="M135" s="1"/>
  <c r="N134"/>
  <c r="M134"/>
  <c r="B134"/>
  <c r="P134" s="1"/>
  <c r="W134" s="1"/>
  <c r="O133"/>
  <c r="N133"/>
  <c r="M133"/>
  <c r="B133"/>
  <c r="N132"/>
  <c r="M132"/>
  <c r="B132"/>
  <c r="P132" s="1"/>
  <c r="W132" s="1"/>
  <c r="B131"/>
  <c r="M131" s="1"/>
  <c r="O130"/>
  <c r="N130"/>
  <c r="M130"/>
  <c r="R130" s="1"/>
  <c r="U130" s="1"/>
  <c r="B130"/>
  <c r="N128"/>
  <c r="B128"/>
  <c r="O127"/>
  <c r="M127"/>
  <c r="B127"/>
  <c r="P127" s="1"/>
  <c r="W127" s="1"/>
  <c r="P126"/>
  <c r="W126" s="1"/>
  <c r="N126"/>
  <c r="M126"/>
  <c r="B126"/>
  <c r="O125"/>
  <c r="N125"/>
  <c r="M125"/>
  <c r="R125" s="1"/>
  <c r="B125"/>
  <c r="W124"/>
  <c r="P124"/>
  <c r="N124"/>
  <c r="M124"/>
  <c r="B124"/>
  <c r="N123"/>
  <c r="M123"/>
  <c r="B123"/>
  <c r="P123" s="1"/>
  <c r="W123" s="1"/>
  <c r="O122"/>
  <c r="N122"/>
  <c r="M122"/>
  <c r="B122"/>
  <c r="O120"/>
  <c r="N120"/>
  <c r="B120"/>
  <c r="M120" s="1"/>
  <c r="P119"/>
  <c r="W119" s="1"/>
  <c r="O119"/>
  <c r="M119"/>
  <c r="B119"/>
  <c r="P118"/>
  <c r="W118" s="1"/>
  <c r="B118"/>
  <c r="O117"/>
  <c r="N117"/>
  <c r="M117"/>
  <c r="B117"/>
  <c r="B116"/>
  <c r="P116" s="1"/>
  <c r="W116" s="1"/>
  <c r="W115"/>
  <c r="P115"/>
  <c r="N115"/>
  <c r="M115"/>
  <c r="B115"/>
  <c r="O114"/>
  <c r="N114"/>
  <c r="M114"/>
  <c r="B114"/>
  <c r="P112"/>
  <c r="W112" s="1"/>
  <c r="O112"/>
  <c r="N112"/>
  <c r="B112"/>
  <c r="M112" s="1"/>
  <c r="P111"/>
  <c r="W111" s="1"/>
  <c r="B111"/>
  <c r="M110"/>
  <c r="B110"/>
  <c r="O109"/>
  <c r="N109"/>
  <c r="M109"/>
  <c r="R109" s="1"/>
  <c r="U109" s="1"/>
  <c r="B109"/>
  <c r="B108"/>
  <c r="M108" s="1"/>
  <c r="B107"/>
  <c r="P106"/>
  <c r="W106" s="1"/>
  <c r="M106"/>
  <c r="B106"/>
  <c r="N104"/>
  <c r="M104"/>
  <c r="B104"/>
  <c r="O103"/>
  <c r="N103"/>
  <c r="M103"/>
  <c r="B103"/>
  <c r="B102"/>
  <c r="O102" s="1"/>
  <c r="P101"/>
  <c r="W101" s="1"/>
  <c r="M101"/>
  <c r="B101"/>
  <c r="P100"/>
  <c r="W100" s="1"/>
  <c r="O100"/>
  <c r="B100"/>
  <c r="O99"/>
  <c r="B99"/>
  <c r="B98"/>
  <c r="P98" s="1"/>
  <c r="W98" s="1"/>
  <c r="N96"/>
  <c r="M96"/>
  <c r="B96"/>
  <c r="O95"/>
  <c r="N95"/>
  <c r="M95"/>
  <c r="B95"/>
  <c r="P94"/>
  <c r="W94" s="1"/>
  <c r="O94"/>
  <c r="B94"/>
  <c r="P93"/>
  <c r="W93" s="1"/>
  <c r="M93"/>
  <c r="B93"/>
  <c r="B92"/>
  <c r="B91"/>
  <c r="B90"/>
  <c r="N88"/>
  <c r="M88"/>
  <c r="B88"/>
  <c r="O87"/>
  <c r="N87"/>
  <c r="M87"/>
  <c r="B87"/>
  <c r="P86"/>
  <c r="W86" s="1"/>
  <c r="O86"/>
  <c r="B86"/>
  <c r="B85"/>
  <c r="B84"/>
  <c r="O84" s="1"/>
  <c r="P83"/>
  <c r="W83" s="1"/>
  <c r="O83"/>
  <c r="B83"/>
  <c r="P82"/>
  <c r="W82" s="1"/>
  <c r="O82"/>
  <c r="M82"/>
  <c r="B82"/>
  <c r="P80"/>
  <c r="W80" s="1"/>
  <c r="N80"/>
  <c r="M80"/>
  <c r="B80"/>
  <c r="O79"/>
  <c r="N79"/>
  <c r="M79"/>
  <c r="B79"/>
  <c r="P78"/>
  <c r="W78" s="1"/>
  <c r="B78"/>
  <c r="M78" s="1"/>
  <c r="O77"/>
  <c r="N77"/>
  <c r="M77"/>
  <c r="R77" s="1"/>
  <c r="B77"/>
  <c r="P76"/>
  <c r="W76" s="1"/>
  <c r="B76"/>
  <c r="M76" s="1"/>
  <c r="M75"/>
  <c r="B75"/>
  <c r="O74"/>
  <c r="N74"/>
  <c r="M74"/>
  <c r="R74" s="1"/>
  <c r="B74"/>
  <c r="O72"/>
  <c r="N72"/>
  <c r="B72"/>
  <c r="O71"/>
  <c r="B71"/>
  <c r="P70"/>
  <c r="W70" s="1"/>
  <c r="M70"/>
  <c r="B70"/>
  <c r="O69"/>
  <c r="N69"/>
  <c r="M69"/>
  <c r="R69" s="1"/>
  <c r="U69" s="1"/>
  <c r="B69"/>
  <c r="P68"/>
  <c r="W68" s="1"/>
  <c r="M68"/>
  <c r="B68"/>
  <c r="B67"/>
  <c r="O66"/>
  <c r="N66"/>
  <c r="M66"/>
  <c r="R66" s="1"/>
  <c r="U66" s="1"/>
  <c r="B66"/>
  <c r="O64"/>
  <c r="N64"/>
  <c r="B64"/>
  <c r="B63"/>
  <c r="M62"/>
  <c r="B62"/>
  <c r="O61"/>
  <c r="N61"/>
  <c r="M61"/>
  <c r="B61"/>
  <c r="M60"/>
  <c r="B60"/>
  <c r="P59"/>
  <c r="W59" s="1"/>
  <c r="B59"/>
  <c r="M59" s="1"/>
  <c r="O58"/>
  <c r="N58"/>
  <c r="M58"/>
  <c r="B58"/>
  <c r="O56"/>
  <c r="N56"/>
  <c r="B56"/>
  <c r="P55"/>
  <c r="W55" s="1"/>
  <c r="B55"/>
  <c r="O55" s="1"/>
  <c r="B54"/>
  <c r="O53"/>
  <c r="N53"/>
  <c r="M53"/>
  <c r="B53"/>
  <c r="B52"/>
  <c r="P51"/>
  <c r="W51" s="1"/>
  <c r="M51"/>
  <c r="B51"/>
  <c r="O50"/>
  <c r="N50"/>
  <c r="M50"/>
  <c r="B50"/>
  <c r="P48"/>
  <c r="W48" s="1"/>
  <c r="O48"/>
  <c r="B48"/>
  <c r="M48" s="1"/>
  <c r="B47"/>
  <c r="M46"/>
  <c r="B46"/>
  <c r="O45"/>
  <c r="N45"/>
  <c r="M45"/>
  <c r="R45" s="1"/>
  <c r="T45" s="1"/>
  <c r="B45"/>
  <c r="M44"/>
  <c r="B44"/>
  <c r="P44" s="1"/>
  <c r="W44" s="1"/>
  <c r="B43"/>
  <c r="O42"/>
  <c r="N42"/>
  <c r="M42"/>
  <c r="B42"/>
  <c r="O40"/>
  <c r="N40"/>
  <c r="B40"/>
  <c r="P39"/>
  <c r="W39" s="1"/>
  <c r="B39"/>
  <c r="M38"/>
  <c r="B38"/>
  <c r="O37"/>
  <c r="N37"/>
  <c r="M37"/>
  <c r="B37"/>
  <c r="M36"/>
  <c r="B36"/>
  <c r="M35"/>
  <c r="B35"/>
  <c r="O34"/>
  <c r="N34"/>
  <c r="M34"/>
  <c r="B34"/>
  <c r="O32"/>
  <c r="N32"/>
  <c r="B32"/>
  <c r="P31"/>
  <c r="W31" s="1"/>
  <c r="B31"/>
  <c r="M30"/>
  <c r="B30"/>
  <c r="O29"/>
  <c r="N29"/>
  <c r="M29"/>
  <c r="B29"/>
  <c r="M28"/>
  <c r="B28"/>
  <c r="M27"/>
  <c r="B27"/>
  <c r="O26"/>
  <c r="N26"/>
  <c r="M26"/>
  <c r="B26"/>
  <c r="O24"/>
  <c r="N24"/>
  <c r="B24"/>
  <c r="P23"/>
  <c r="W23" s="1"/>
  <c r="B23"/>
  <c r="M22"/>
  <c r="B22"/>
  <c r="O21"/>
  <c r="N21"/>
  <c r="M21"/>
  <c r="R21" s="1"/>
  <c r="U21" s="1"/>
  <c r="B21"/>
  <c r="M20"/>
  <c r="B20"/>
  <c r="M19"/>
  <c r="B19"/>
  <c r="O18"/>
  <c r="N18"/>
  <c r="M18"/>
  <c r="R18" s="1"/>
  <c r="U18" s="1"/>
  <c r="B18"/>
  <c r="O16"/>
  <c r="N16"/>
  <c r="B16"/>
  <c r="P15"/>
  <c r="W15" s="1"/>
  <c r="B15"/>
  <c r="M14"/>
  <c r="B14"/>
  <c r="O13"/>
  <c r="N13"/>
  <c r="M13"/>
  <c r="B13"/>
  <c r="M12"/>
  <c r="B12"/>
  <c r="M11"/>
  <c r="B11"/>
  <c r="O10"/>
  <c r="N10"/>
  <c r="M10"/>
  <c r="B10"/>
  <c r="O8"/>
  <c r="N8"/>
  <c r="B8"/>
  <c r="P7"/>
  <c r="W7" s="1"/>
  <c r="B7"/>
  <c r="M6"/>
  <c r="B6"/>
  <c r="O5"/>
  <c r="N5"/>
  <c r="M5"/>
  <c r="B5"/>
  <c r="M4"/>
  <c r="B4"/>
  <c r="M3"/>
  <c r="B3"/>
  <c r="O2"/>
  <c r="N2"/>
  <c r="M2"/>
  <c r="B2"/>
  <c r="B7" i="12"/>
  <c r="B200" i="13"/>
  <c r="B199"/>
  <c r="B198"/>
  <c r="B197"/>
  <c r="B196"/>
  <c r="B195"/>
  <c r="O8" i="22" l="1"/>
  <c r="P8" s="1"/>
  <c r="L2" i="20"/>
  <c r="L7"/>
  <c r="L8"/>
  <c r="L6"/>
  <c r="R26"/>
  <c r="U26" s="1"/>
  <c r="R29"/>
  <c r="U29" s="1"/>
  <c r="T109"/>
  <c r="T159"/>
  <c r="R10"/>
  <c r="U10" s="1"/>
  <c r="R13"/>
  <c r="U13" s="1"/>
  <c r="R42"/>
  <c r="U42" s="1"/>
  <c r="R58"/>
  <c r="R61"/>
  <c r="T61" s="1"/>
  <c r="V125"/>
  <c r="R133"/>
  <c r="V143"/>
  <c r="R117"/>
  <c r="T130"/>
  <c r="V159"/>
  <c r="R2"/>
  <c r="U2" s="1"/>
  <c r="R5"/>
  <c r="U5" s="1"/>
  <c r="R34"/>
  <c r="U34" s="1"/>
  <c r="R37"/>
  <c r="U37" s="1"/>
  <c r="R87"/>
  <c r="T87" s="1"/>
  <c r="R122"/>
  <c r="T122" s="1"/>
  <c r="U58"/>
  <c r="T58"/>
  <c r="M23"/>
  <c r="N23"/>
  <c r="O23"/>
  <c r="M31"/>
  <c r="O31"/>
  <c r="N31"/>
  <c r="M39"/>
  <c r="O39"/>
  <c r="N39"/>
  <c r="U74"/>
  <c r="T74"/>
  <c r="U77"/>
  <c r="T77"/>
  <c r="N47"/>
  <c r="M47"/>
  <c r="O47"/>
  <c r="P47"/>
  <c r="W47" s="1"/>
  <c r="T2"/>
  <c r="V18"/>
  <c r="V34"/>
  <c r="T34"/>
  <c r="V37"/>
  <c r="T37"/>
  <c r="T42"/>
  <c r="R50"/>
  <c r="M63"/>
  <c r="N63"/>
  <c r="O63"/>
  <c r="P63"/>
  <c r="W63" s="1"/>
  <c r="M7"/>
  <c r="N7"/>
  <c r="O7"/>
  <c r="M15"/>
  <c r="O15"/>
  <c r="N15"/>
  <c r="O43"/>
  <c r="M43"/>
  <c r="P43"/>
  <c r="W43" s="1"/>
  <c r="N43"/>
  <c r="N52"/>
  <c r="O52"/>
  <c r="M52"/>
  <c r="R52" s="1"/>
  <c r="V52" s="1"/>
  <c r="P52"/>
  <c r="W52" s="1"/>
  <c r="N54"/>
  <c r="O54"/>
  <c r="M54"/>
  <c r="P54"/>
  <c r="W54" s="1"/>
  <c r="V2"/>
  <c r="T10"/>
  <c r="V13"/>
  <c r="T18"/>
  <c r="V21"/>
  <c r="T21"/>
  <c r="V42"/>
  <c r="U45"/>
  <c r="X45" s="1"/>
  <c r="R53"/>
  <c r="N67"/>
  <c r="O67"/>
  <c r="M148"/>
  <c r="O148"/>
  <c r="N148"/>
  <c r="P148"/>
  <c r="W148" s="1"/>
  <c r="O46"/>
  <c r="N60"/>
  <c r="O60"/>
  <c r="M71"/>
  <c r="N71"/>
  <c r="O90"/>
  <c r="N90"/>
  <c r="P90"/>
  <c r="W90" s="1"/>
  <c r="M90"/>
  <c r="O107"/>
  <c r="N107"/>
  <c r="M107"/>
  <c r="P107"/>
  <c r="W107" s="1"/>
  <c r="U138"/>
  <c r="T138"/>
  <c r="O172"/>
  <c r="N172"/>
  <c r="P172"/>
  <c r="W172" s="1"/>
  <c r="M172"/>
  <c r="R172" s="1"/>
  <c r="T172" s="1"/>
  <c r="O198"/>
  <c r="N198"/>
  <c r="P198"/>
  <c r="W198" s="1"/>
  <c r="M198"/>
  <c r="N51"/>
  <c r="R51" s="1"/>
  <c r="O51"/>
  <c r="N68"/>
  <c r="O68"/>
  <c r="N70"/>
  <c r="O70"/>
  <c r="N111"/>
  <c r="O111"/>
  <c r="M111"/>
  <c r="O118"/>
  <c r="N118"/>
  <c r="M118"/>
  <c r="U125"/>
  <c r="T125"/>
  <c r="V66"/>
  <c r="V69"/>
  <c r="P3"/>
  <c r="W3" s="1"/>
  <c r="P4"/>
  <c r="W4" s="1"/>
  <c r="P6"/>
  <c r="W6" s="1"/>
  <c r="P11"/>
  <c r="W11" s="1"/>
  <c r="P12"/>
  <c r="W12" s="1"/>
  <c r="P19"/>
  <c r="W19" s="1"/>
  <c r="P20"/>
  <c r="W20" s="1"/>
  <c r="P30"/>
  <c r="W30" s="1"/>
  <c r="P35"/>
  <c r="W35" s="1"/>
  <c r="P36"/>
  <c r="W36" s="1"/>
  <c r="V74"/>
  <c r="V77"/>
  <c r="R79"/>
  <c r="P2"/>
  <c r="W2" s="1"/>
  <c r="O3"/>
  <c r="O4"/>
  <c r="P5"/>
  <c r="W5" s="1"/>
  <c r="O6"/>
  <c r="M8"/>
  <c r="R8" s="1"/>
  <c r="P10"/>
  <c r="W10" s="1"/>
  <c r="O11"/>
  <c r="O12"/>
  <c r="P13"/>
  <c r="W13" s="1"/>
  <c r="O14"/>
  <c r="M16"/>
  <c r="R16" s="1"/>
  <c r="P18"/>
  <c r="W18" s="1"/>
  <c r="O19"/>
  <c r="O20"/>
  <c r="P21"/>
  <c r="W21" s="1"/>
  <c r="O22"/>
  <c r="M24"/>
  <c r="R24" s="1"/>
  <c r="V24" s="1"/>
  <c r="P26"/>
  <c r="W26" s="1"/>
  <c r="O27"/>
  <c r="O28"/>
  <c r="P29"/>
  <c r="W29" s="1"/>
  <c r="O30"/>
  <c r="M32"/>
  <c r="R32" s="1"/>
  <c r="V32" s="1"/>
  <c r="P34"/>
  <c r="W34" s="1"/>
  <c r="O35"/>
  <c r="O36"/>
  <c r="P37"/>
  <c r="W37" s="1"/>
  <c r="O38"/>
  <c r="M40"/>
  <c r="R40" s="1"/>
  <c r="V40" s="1"/>
  <c r="P42"/>
  <c r="W42" s="1"/>
  <c r="V45"/>
  <c r="P46"/>
  <c r="W46" s="1"/>
  <c r="N48"/>
  <c r="R48" s="1"/>
  <c r="V53"/>
  <c r="P67"/>
  <c r="W67" s="1"/>
  <c r="U122"/>
  <c r="U151"/>
  <c r="T151"/>
  <c r="N191"/>
  <c r="M191"/>
  <c r="P191"/>
  <c r="W191" s="1"/>
  <c r="O191"/>
  <c r="O44"/>
  <c r="N62"/>
  <c r="O62"/>
  <c r="N75"/>
  <c r="R75" s="1"/>
  <c r="O75"/>
  <c r="O85"/>
  <c r="N85"/>
  <c r="M85"/>
  <c r="P85"/>
  <c r="W85" s="1"/>
  <c r="N99"/>
  <c r="M99"/>
  <c r="P99"/>
  <c r="W99" s="1"/>
  <c r="M55"/>
  <c r="N55"/>
  <c r="N59"/>
  <c r="R59" s="1"/>
  <c r="O59"/>
  <c r="N76"/>
  <c r="O76"/>
  <c r="N78"/>
  <c r="R78" s="1"/>
  <c r="O78"/>
  <c r="N91"/>
  <c r="M91"/>
  <c r="O91"/>
  <c r="P91"/>
  <c r="W91" s="1"/>
  <c r="N92"/>
  <c r="M92"/>
  <c r="R92" s="1"/>
  <c r="T92" s="1"/>
  <c r="O92"/>
  <c r="P92"/>
  <c r="W92" s="1"/>
  <c r="O98"/>
  <c r="N98"/>
  <c r="M98"/>
  <c r="T133"/>
  <c r="U133"/>
  <c r="N156"/>
  <c r="M156"/>
  <c r="P156"/>
  <c r="W156" s="1"/>
  <c r="O156"/>
  <c r="P14"/>
  <c r="W14" s="1"/>
  <c r="P22"/>
  <c r="W22" s="1"/>
  <c r="P27"/>
  <c r="W27" s="1"/>
  <c r="P28"/>
  <c r="W28" s="1"/>
  <c r="P38"/>
  <c r="W38" s="1"/>
  <c r="U87"/>
  <c r="N3"/>
  <c r="N4"/>
  <c r="N6"/>
  <c r="R6" s="1"/>
  <c r="U6" s="1"/>
  <c r="P8"/>
  <c r="W8" s="1"/>
  <c r="N11"/>
  <c r="R11" s="1"/>
  <c r="N12"/>
  <c r="R12" s="1"/>
  <c r="V12" s="1"/>
  <c r="N14"/>
  <c r="P16"/>
  <c r="W16" s="1"/>
  <c r="N19"/>
  <c r="R19" s="1"/>
  <c r="N20"/>
  <c r="N22"/>
  <c r="R22" s="1"/>
  <c r="T22" s="1"/>
  <c r="P24"/>
  <c r="W24" s="1"/>
  <c r="N27"/>
  <c r="R27" s="1"/>
  <c r="N28"/>
  <c r="N30"/>
  <c r="P32"/>
  <c r="W32" s="1"/>
  <c r="N35"/>
  <c r="R35" s="1"/>
  <c r="N36"/>
  <c r="R36" s="1"/>
  <c r="U36" s="1"/>
  <c r="N38"/>
  <c r="R38" s="1"/>
  <c r="U38" s="1"/>
  <c r="P40"/>
  <c r="W40" s="1"/>
  <c r="N44"/>
  <c r="N46"/>
  <c r="R46" s="1"/>
  <c r="V50"/>
  <c r="V58"/>
  <c r="P60"/>
  <c r="W60" s="1"/>
  <c r="P62"/>
  <c r="W62" s="1"/>
  <c r="T66"/>
  <c r="M67"/>
  <c r="T69"/>
  <c r="P71"/>
  <c r="W71" s="1"/>
  <c r="P75"/>
  <c r="W75" s="1"/>
  <c r="O80"/>
  <c r="R80" s="1"/>
  <c r="N82"/>
  <c r="R82" s="1"/>
  <c r="N94"/>
  <c r="M94"/>
  <c r="O101"/>
  <c r="N101"/>
  <c r="O110"/>
  <c r="R110" s="1"/>
  <c r="P110"/>
  <c r="W110" s="1"/>
  <c r="N110"/>
  <c r="M128"/>
  <c r="R128" s="1"/>
  <c r="V128" s="1"/>
  <c r="P128"/>
  <c r="W128" s="1"/>
  <c r="O128"/>
  <c r="M136"/>
  <c r="O136"/>
  <c r="N136"/>
  <c r="P136"/>
  <c r="W136" s="1"/>
  <c r="O165"/>
  <c r="N165"/>
  <c r="P165"/>
  <c r="W165" s="1"/>
  <c r="M165"/>
  <c r="P45"/>
  <c r="W45" s="1"/>
  <c r="P50"/>
  <c r="W50" s="1"/>
  <c r="P53"/>
  <c r="W53" s="1"/>
  <c r="M56"/>
  <c r="R56" s="1"/>
  <c r="P58"/>
  <c r="W58" s="1"/>
  <c r="P61"/>
  <c r="W61" s="1"/>
  <c r="M64"/>
  <c r="R64" s="1"/>
  <c r="V64" s="1"/>
  <c r="P66"/>
  <c r="W66" s="1"/>
  <c r="P69"/>
  <c r="W69" s="1"/>
  <c r="M72"/>
  <c r="R72" s="1"/>
  <c r="P74"/>
  <c r="W74" s="1"/>
  <c r="P77"/>
  <c r="W77" s="1"/>
  <c r="V87"/>
  <c r="R95"/>
  <c r="R114"/>
  <c r="V114" s="1"/>
  <c r="V130"/>
  <c r="V138"/>
  <c r="R149"/>
  <c r="N84"/>
  <c r="M84"/>
  <c r="P84"/>
  <c r="W84" s="1"/>
  <c r="N102"/>
  <c r="M102"/>
  <c r="P102"/>
  <c r="W102" s="1"/>
  <c r="O108"/>
  <c r="R108" s="1"/>
  <c r="P108"/>
  <c r="W108" s="1"/>
  <c r="N108"/>
  <c r="O116"/>
  <c r="N116"/>
  <c r="M116"/>
  <c r="R116" s="1"/>
  <c r="V116" s="1"/>
  <c r="P56"/>
  <c r="W56" s="1"/>
  <c r="P64"/>
  <c r="W64" s="1"/>
  <c r="P72"/>
  <c r="W72" s="1"/>
  <c r="V95"/>
  <c r="R104"/>
  <c r="T104" s="1"/>
  <c r="N83"/>
  <c r="M83"/>
  <c r="N86"/>
  <c r="M86"/>
  <c r="O93"/>
  <c r="N93"/>
  <c r="N100"/>
  <c r="M100"/>
  <c r="O106"/>
  <c r="N106"/>
  <c r="M142"/>
  <c r="P142"/>
  <c r="W142" s="1"/>
  <c r="O142"/>
  <c r="X159"/>
  <c r="R103"/>
  <c r="O131"/>
  <c r="P131"/>
  <c r="W131" s="1"/>
  <c r="N131"/>
  <c r="N135"/>
  <c r="P135"/>
  <c r="W135" s="1"/>
  <c r="O135"/>
  <c r="O162"/>
  <c r="N162"/>
  <c r="P162"/>
  <c r="W162" s="1"/>
  <c r="M162"/>
  <c r="O188"/>
  <c r="N188"/>
  <c r="P188"/>
  <c r="W188" s="1"/>
  <c r="O115"/>
  <c r="R115" s="1"/>
  <c r="N119"/>
  <c r="R119" s="1"/>
  <c r="O124"/>
  <c r="R124" s="1"/>
  <c r="O126"/>
  <c r="R126" s="1"/>
  <c r="N166"/>
  <c r="M166"/>
  <c r="P166"/>
  <c r="W166" s="1"/>
  <c r="O166"/>
  <c r="P79"/>
  <c r="W79" s="1"/>
  <c r="P87"/>
  <c r="W87" s="1"/>
  <c r="O88"/>
  <c r="R88" s="1"/>
  <c r="P95"/>
  <c r="W95" s="1"/>
  <c r="O96"/>
  <c r="R96" s="1"/>
  <c r="P103"/>
  <c r="W103" s="1"/>
  <c r="O104"/>
  <c r="R112"/>
  <c r="P120"/>
  <c r="W120" s="1"/>
  <c r="V133"/>
  <c r="V151"/>
  <c r="R184"/>
  <c r="R200"/>
  <c r="O123"/>
  <c r="R123" s="1"/>
  <c r="N127"/>
  <c r="R127" s="1"/>
  <c r="O132"/>
  <c r="R132" s="1"/>
  <c r="O134"/>
  <c r="R134" s="1"/>
  <c r="U143"/>
  <c r="T143"/>
  <c r="M150"/>
  <c r="P150"/>
  <c r="W150" s="1"/>
  <c r="O150"/>
  <c r="N163"/>
  <c r="M163"/>
  <c r="P163"/>
  <c r="W163" s="1"/>
  <c r="O163"/>
  <c r="P88"/>
  <c r="W88" s="1"/>
  <c r="P96"/>
  <c r="W96" s="1"/>
  <c r="P104"/>
  <c r="W104" s="1"/>
  <c r="V109"/>
  <c r="X109" s="1"/>
  <c r="Y109" s="1"/>
  <c r="R120"/>
  <c r="T120" s="1"/>
  <c r="O144"/>
  <c r="R144" s="1"/>
  <c r="U144" s="1"/>
  <c r="N146"/>
  <c r="R146" s="1"/>
  <c r="O152"/>
  <c r="R152" s="1"/>
  <c r="U152" s="1"/>
  <c r="N154"/>
  <c r="R154" s="1"/>
  <c r="O157"/>
  <c r="N157"/>
  <c r="O174"/>
  <c r="N174"/>
  <c r="R174" s="1"/>
  <c r="P174"/>
  <c r="W174" s="1"/>
  <c r="O195"/>
  <c r="N195"/>
  <c r="P195"/>
  <c r="W195" s="1"/>
  <c r="P109"/>
  <c r="W109" s="1"/>
  <c r="P114"/>
  <c r="W114" s="1"/>
  <c r="P117"/>
  <c r="W117" s="1"/>
  <c r="P122"/>
  <c r="W122" s="1"/>
  <c r="P125"/>
  <c r="W125" s="1"/>
  <c r="P130"/>
  <c r="W130" s="1"/>
  <c r="P133"/>
  <c r="W133" s="1"/>
  <c r="P138"/>
  <c r="W138" s="1"/>
  <c r="O139"/>
  <c r="R139" s="1"/>
  <c r="T139" s="1"/>
  <c r="O140"/>
  <c r="R140" s="1"/>
  <c r="R147"/>
  <c r="T147" s="1"/>
  <c r="N141"/>
  <c r="R141" s="1"/>
  <c r="T141" s="1"/>
  <c r="T149"/>
  <c r="N149"/>
  <c r="N155"/>
  <c r="M155"/>
  <c r="R155" s="1"/>
  <c r="T155" s="1"/>
  <c r="N158"/>
  <c r="M158"/>
  <c r="N164"/>
  <c r="M164"/>
  <c r="O170"/>
  <c r="R170" s="1"/>
  <c r="N170"/>
  <c r="N175"/>
  <c r="M175"/>
  <c r="P175"/>
  <c r="W175" s="1"/>
  <c r="O175"/>
  <c r="O179"/>
  <c r="N179"/>
  <c r="P179"/>
  <c r="W179" s="1"/>
  <c r="M179"/>
  <c r="P139"/>
  <c r="W139" s="1"/>
  <c r="P140"/>
  <c r="W140" s="1"/>
  <c r="R167"/>
  <c r="R195"/>
  <c r="V195" s="1"/>
  <c r="O182"/>
  <c r="N182"/>
  <c r="O187"/>
  <c r="N187"/>
  <c r="O196"/>
  <c r="T196"/>
  <c r="N196"/>
  <c r="R196" s="1"/>
  <c r="U196" s="1"/>
  <c r="N199"/>
  <c r="M199"/>
  <c r="P143"/>
  <c r="W143" s="1"/>
  <c r="P151"/>
  <c r="W151" s="1"/>
  <c r="P159"/>
  <c r="W159" s="1"/>
  <c r="O160"/>
  <c r="R160" s="1"/>
  <c r="T160" s="1"/>
  <c r="P167"/>
  <c r="W167" s="1"/>
  <c r="O168"/>
  <c r="R168" s="1"/>
  <c r="R192"/>
  <c r="O171"/>
  <c r="N171"/>
  <c r="O180"/>
  <c r="N180"/>
  <c r="N183"/>
  <c r="M183"/>
  <c r="O190"/>
  <c r="N190"/>
  <c r="P160"/>
  <c r="W160" s="1"/>
  <c r="P168"/>
  <c r="W168" s="1"/>
  <c r="R176"/>
  <c r="V200"/>
  <c r="O173"/>
  <c r="R173" s="1"/>
  <c r="P176"/>
  <c r="W176" s="1"/>
  <c r="O178"/>
  <c r="R178" s="1"/>
  <c r="T178" s="1"/>
  <c r="O181"/>
  <c r="R181" s="1"/>
  <c r="T181" s="1"/>
  <c r="P184"/>
  <c r="W184" s="1"/>
  <c r="V184"/>
  <c r="O186"/>
  <c r="R186" s="1"/>
  <c r="O189"/>
  <c r="R189" s="1"/>
  <c r="T189" s="1"/>
  <c r="P192"/>
  <c r="W192" s="1"/>
  <c r="O194"/>
  <c r="R194" s="1"/>
  <c r="T194" s="1"/>
  <c r="O197"/>
  <c r="R197" s="1"/>
  <c r="P200"/>
  <c r="W200" s="1"/>
  <c r="P173"/>
  <c r="W173" s="1"/>
  <c r="P178"/>
  <c r="W178" s="1"/>
  <c r="P181"/>
  <c r="W181" s="1"/>
  <c r="P186"/>
  <c r="W186" s="1"/>
  <c r="P189"/>
  <c r="W189" s="1"/>
  <c r="P194"/>
  <c r="W194" s="1"/>
  <c r="P197"/>
  <c r="W197" s="1"/>
  <c r="B194" i="13"/>
  <c r="B192"/>
  <c r="B191"/>
  <c r="B190"/>
  <c r="B189"/>
  <c r="B188"/>
  <c r="B187"/>
  <c r="Q8" i="22" l="1"/>
  <c r="R8" s="1"/>
  <c r="V48" i="20"/>
  <c r="U48"/>
  <c r="U19"/>
  <c r="X19" s="1"/>
  <c r="Y19" s="1"/>
  <c r="V19"/>
  <c r="T19"/>
  <c r="T168"/>
  <c r="U168"/>
  <c r="U117"/>
  <c r="T117"/>
  <c r="X117" s="1"/>
  <c r="AD117" s="1"/>
  <c r="U116"/>
  <c r="U189"/>
  <c r="R183"/>
  <c r="U183" s="1"/>
  <c r="R98"/>
  <c r="T98" s="1"/>
  <c r="R107"/>
  <c r="V107" s="1"/>
  <c r="T26"/>
  <c r="R187"/>
  <c r="V155"/>
  <c r="V194"/>
  <c r="U139"/>
  <c r="R157"/>
  <c r="U157" s="1"/>
  <c r="R163"/>
  <c r="T163" s="1"/>
  <c r="R188"/>
  <c r="T188" s="1"/>
  <c r="X130"/>
  <c r="V139"/>
  <c r="R67"/>
  <c r="R30"/>
  <c r="T30" s="1"/>
  <c r="R14"/>
  <c r="U14" s="1"/>
  <c r="V36"/>
  <c r="T13"/>
  <c r="AB13" s="1"/>
  <c r="V5"/>
  <c r="X5" s="1"/>
  <c r="AB5" s="1"/>
  <c r="U61"/>
  <c r="V29"/>
  <c r="R47"/>
  <c r="U47" s="1"/>
  <c r="R171"/>
  <c r="T171" s="1"/>
  <c r="V189"/>
  <c r="R166"/>
  <c r="V117"/>
  <c r="R100"/>
  <c r="U100" s="1"/>
  <c r="R4"/>
  <c r="R62"/>
  <c r="R118"/>
  <c r="U118" s="1"/>
  <c r="R68"/>
  <c r="T68" s="1"/>
  <c r="T36"/>
  <c r="U178"/>
  <c r="R190"/>
  <c r="U190" s="1"/>
  <c r="R180"/>
  <c r="T180" s="1"/>
  <c r="V196"/>
  <c r="R199"/>
  <c r="U199" s="1"/>
  <c r="R182"/>
  <c r="R179"/>
  <c r="T179" s="1"/>
  <c r="V122"/>
  <c r="X122" s="1"/>
  <c r="U104"/>
  <c r="R131"/>
  <c r="V131" s="1"/>
  <c r="Y159"/>
  <c r="R106"/>
  <c r="U106" s="1"/>
  <c r="R93"/>
  <c r="T116"/>
  <c r="X116" s="1"/>
  <c r="R101"/>
  <c r="V101" s="1"/>
  <c r="V61"/>
  <c r="R76"/>
  <c r="R55"/>
  <c r="R44"/>
  <c r="T44" s="1"/>
  <c r="U12"/>
  <c r="R3"/>
  <c r="R70"/>
  <c r="T70" s="1"/>
  <c r="R60"/>
  <c r="U60" s="1"/>
  <c r="V26"/>
  <c r="T5"/>
  <c r="R43"/>
  <c r="V43" s="1"/>
  <c r="T29"/>
  <c r="AB29" s="1"/>
  <c r="V10"/>
  <c r="T88"/>
  <c r="V88"/>
  <c r="U88"/>
  <c r="Y130"/>
  <c r="AB130"/>
  <c r="AC130"/>
  <c r="T75"/>
  <c r="V75"/>
  <c r="U75"/>
  <c r="U51"/>
  <c r="T51"/>
  <c r="V51"/>
  <c r="T140"/>
  <c r="V140"/>
  <c r="U140"/>
  <c r="T126"/>
  <c r="V126"/>
  <c r="U126"/>
  <c r="U93"/>
  <c r="T93"/>
  <c r="V93"/>
  <c r="T80"/>
  <c r="V80"/>
  <c r="U80"/>
  <c r="V44"/>
  <c r="T197"/>
  <c r="U197"/>
  <c r="V197"/>
  <c r="T173"/>
  <c r="U173"/>
  <c r="V173"/>
  <c r="U154"/>
  <c r="V154"/>
  <c r="T154"/>
  <c r="V123"/>
  <c r="T123"/>
  <c r="U123"/>
  <c r="V171"/>
  <c r="U171"/>
  <c r="T170"/>
  <c r="U170"/>
  <c r="V170"/>
  <c r="U146"/>
  <c r="V146"/>
  <c r="T146"/>
  <c r="V127"/>
  <c r="U127"/>
  <c r="T127"/>
  <c r="U119"/>
  <c r="V119"/>
  <c r="T119"/>
  <c r="T108"/>
  <c r="V108"/>
  <c r="U108"/>
  <c r="T110"/>
  <c r="V110"/>
  <c r="U110"/>
  <c r="T46"/>
  <c r="V46"/>
  <c r="U46"/>
  <c r="T78"/>
  <c r="V78"/>
  <c r="U78"/>
  <c r="U59"/>
  <c r="V59"/>
  <c r="T59"/>
  <c r="V62"/>
  <c r="T62"/>
  <c r="U62"/>
  <c r="U68"/>
  <c r="AC196"/>
  <c r="V132"/>
  <c r="T132"/>
  <c r="U132"/>
  <c r="T124"/>
  <c r="V124"/>
  <c r="U124"/>
  <c r="V188"/>
  <c r="U188"/>
  <c r="T186"/>
  <c r="U186"/>
  <c r="V186"/>
  <c r="U180"/>
  <c r="V180"/>
  <c r="T101"/>
  <c r="U101"/>
  <c r="U76"/>
  <c r="V76"/>
  <c r="T76"/>
  <c r="T3"/>
  <c r="V3"/>
  <c r="U3"/>
  <c r="T60"/>
  <c r="V60"/>
  <c r="V174"/>
  <c r="U174"/>
  <c r="T174"/>
  <c r="T96"/>
  <c r="U96"/>
  <c r="V96"/>
  <c r="T115"/>
  <c r="V115"/>
  <c r="U115"/>
  <c r="V35"/>
  <c r="T35"/>
  <c r="U35"/>
  <c r="T27"/>
  <c r="U27"/>
  <c r="V27"/>
  <c r="U11"/>
  <c r="T11"/>
  <c r="V11"/>
  <c r="X196"/>
  <c r="Y196" s="1"/>
  <c r="AB196"/>
  <c r="U166"/>
  <c r="V166"/>
  <c r="U149"/>
  <c r="V149"/>
  <c r="X149" s="1"/>
  <c r="AB66"/>
  <c r="X66"/>
  <c r="V82"/>
  <c r="U82"/>
  <c r="T16"/>
  <c r="U16"/>
  <c r="T79"/>
  <c r="U79"/>
  <c r="X36"/>
  <c r="Y36" s="1"/>
  <c r="X77"/>
  <c r="Y77" s="1"/>
  <c r="U112"/>
  <c r="V112"/>
  <c r="T134"/>
  <c r="V134"/>
  <c r="T72"/>
  <c r="U72"/>
  <c r="AB37"/>
  <c r="X37"/>
  <c r="AB26"/>
  <c r="X26"/>
  <c r="AB189"/>
  <c r="X189"/>
  <c r="Y189" s="1"/>
  <c r="U192"/>
  <c r="T192"/>
  <c r="U167"/>
  <c r="T167"/>
  <c r="U147"/>
  <c r="V147"/>
  <c r="AB139"/>
  <c r="X139"/>
  <c r="Y139" s="1"/>
  <c r="U120"/>
  <c r="X120" s="1"/>
  <c r="V120"/>
  <c r="T200"/>
  <c r="U200"/>
  <c r="T56"/>
  <c r="U56"/>
  <c r="X151"/>
  <c r="Y151" s="1"/>
  <c r="T40"/>
  <c r="U40"/>
  <c r="T8"/>
  <c r="U8"/>
  <c r="U53"/>
  <c r="T53"/>
  <c r="AB18"/>
  <c r="X18"/>
  <c r="X10"/>
  <c r="AC159"/>
  <c r="T128"/>
  <c r="U22"/>
  <c r="V16"/>
  <c r="R15"/>
  <c r="T14"/>
  <c r="AD37"/>
  <c r="R39"/>
  <c r="U160"/>
  <c r="V157"/>
  <c r="V100"/>
  <c r="R86"/>
  <c r="R84"/>
  <c r="R94"/>
  <c r="T82"/>
  <c r="V38"/>
  <c r="V14"/>
  <c r="R156"/>
  <c r="R99"/>
  <c r="R148"/>
  <c r="R63"/>
  <c r="U181"/>
  <c r="X181" s="1"/>
  <c r="T183"/>
  <c r="U194"/>
  <c r="V183"/>
  <c r="V178"/>
  <c r="R158"/>
  <c r="V192"/>
  <c r="V167"/>
  <c r="T157"/>
  <c r="U155"/>
  <c r="V106"/>
  <c r="AB159"/>
  <c r="T106"/>
  <c r="V79"/>
  <c r="R165"/>
  <c r="T48"/>
  <c r="R28"/>
  <c r="R20"/>
  <c r="V6"/>
  <c r="V72"/>
  <c r="U92"/>
  <c r="V56"/>
  <c r="U4"/>
  <c r="AD77"/>
  <c r="V22"/>
  <c r="AD66"/>
  <c r="R198"/>
  <c r="U172"/>
  <c r="U107"/>
  <c r="AC109"/>
  <c r="V8"/>
  <c r="R7"/>
  <c r="T12"/>
  <c r="T6"/>
  <c r="R31"/>
  <c r="U163"/>
  <c r="T144"/>
  <c r="V144"/>
  <c r="X29"/>
  <c r="U176"/>
  <c r="T176"/>
  <c r="X143"/>
  <c r="AB143" s="1"/>
  <c r="T152"/>
  <c r="V152"/>
  <c r="T95"/>
  <c r="U95"/>
  <c r="X133"/>
  <c r="Y133" s="1"/>
  <c r="T24"/>
  <c r="U24"/>
  <c r="AB61"/>
  <c r="X61"/>
  <c r="Y61" s="1"/>
  <c r="X58"/>
  <c r="Y58" s="1"/>
  <c r="T184"/>
  <c r="U184"/>
  <c r="V141"/>
  <c r="U141"/>
  <c r="U103"/>
  <c r="T103"/>
  <c r="T114"/>
  <c r="U114"/>
  <c r="U64"/>
  <c r="T64"/>
  <c r="X69"/>
  <c r="AB69" s="1"/>
  <c r="T32"/>
  <c r="U32"/>
  <c r="X125"/>
  <c r="AB125" s="1"/>
  <c r="AB138"/>
  <c r="X138"/>
  <c r="Y138" s="1"/>
  <c r="X21"/>
  <c r="X13"/>
  <c r="T50"/>
  <c r="U50"/>
  <c r="AB42"/>
  <c r="X42"/>
  <c r="X34"/>
  <c r="AB34" s="1"/>
  <c r="AB2"/>
  <c r="X2"/>
  <c r="AD2" s="1"/>
  <c r="X74"/>
  <c r="Y74" s="1"/>
  <c r="AC189"/>
  <c r="AD196"/>
  <c r="AC139"/>
  <c r="T195"/>
  <c r="AD130"/>
  <c r="T52"/>
  <c r="Y45"/>
  <c r="AC58"/>
  <c r="V199"/>
  <c r="R175"/>
  <c r="R135"/>
  <c r="R142"/>
  <c r="R102"/>
  <c r="U128"/>
  <c r="AD139"/>
  <c r="AD61"/>
  <c r="X87"/>
  <c r="R85"/>
  <c r="AD45"/>
  <c r="AC125"/>
  <c r="V172"/>
  <c r="T38"/>
  <c r="AD13"/>
  <c r="V92"/>
  <c r="AC74"/>
  <c r="AD189"/>
  <c r="V176"/>
  <c r="T199"/>
  <c r="R164"/>
  <c r="V181"/>
  <c r="V160"/>
  <c r="U195"/>
  <c r="AD109"/>
  <c r="R150"/>
  <c r="U134"/>
  <c r="T112"/>
  <c r="T166"/>
  <c r="R162"/>
  <c r="AD159"/>
  <c r="T100"/>
  <c r="R83"/>
  <c r="V168"/>
  <c r="R136"/>
  <c r="V103"/>
  <c r="AB109"/>
  <c r="R91"/>
  <c r="R191"/>
  <c r="V104"/>
  <c r="R111"/>
  <c r="R90"/>
  <c r="R71"/>
  <c r="AC45"/>
  <c r="R54"/>
  <c r="U52"/>
  <c r="AB45"/>
  <c r="R23"/>
  <c r="B186" i="13"/>
  <c r="B184"/>
  <c r="B183"/>
  <c r="B182"/>
  <c r="B181"/>
  <c r="B180"/>
  <c r="B179"/>
  <c r="Y122" i="20" l="1"/>
  <c r="AB122"/>
  <c r="AC122"/>
  <c r="AD122"/>
  <c r="AC116"/>
  <c r="Y149"/>
  <c r="AB149"/>
  <c r="Y116"/>
  <c r="AD116"/>
  <c r="AB116"/>
  <c r="U55"/>
  <c r="V55"/>
  <c r="U187"/>
  <c r="V187"/>
  <c r="T187"/>
  <c r="AC143"/>
  <c r="T55"/>
  <c r="X55" s="1"/>
  <c r="AB55" s="1"/>
  <c r="V163"/>
  <c r="X163" s="1"/>
  <c r="V70"/>
  <c r="T131"/>
  <c r="AD138"/>
  <c r="AD36"/>
  <c r="T43"/>
  <c r="T107"/>
  <c r="T118"/>
  <c r="X118" s="1"/>
  <c r="T47"/>
  <c r="X47" s="1"/>
  <c r="V118"/>
  <c r="V190"/>
  <c r="V68"/>
  <c r="U70"/>
  <c r="AC70" s="1"/>
  <c r="U44"/>
  <c r="U131"/>
  <c r="U182"/>
  <c r="V182"/>
  <c r="T182"/>
  <c r="T67"/>
  <c r="U67"/>
  <c r="X67" s="1"/>
  <c r="AD67" s="1"/>
  <c r="V179"/>
  <c r="X179" s="1"/>
  <c r="AB179" s="1"/>
  <c r="U179"/>
  <c r="T4"/>
  <c r="V4"/>
  <c r="X4" s="1"/>
  <c r="U43"/>
  <c r="X43" s="1"/>
  <c r="AB43" s="1"/>
  <c r="X155"/>
  <c r="T190"/>
  <c r="V67"/>
  <c r="V98"/>
  <c r="X98" s="1"/>
  <c r="AD133"/>
  <c r="U98"/>
  <c r="AB58"/>
  <c r="V30"/>
  <c r="X194"/>
  <c r="V47"/>
  <c r="U30"/>
  <c r="X30" s="1"/>
  <c r="AB36"/>
  <c r="Y181"/>
  <c r="AB181"/>
  <c r="Y120"/>
  <c r="AB120"/>
  <c r="Y155"/>
  <c r="AB155"/>
  <c r="AD155"/>
  <c r="Y194"/>
  <c r="AB194"/>
  <c r="AD194"/>
  <c r="U111"/>
  <c r="V111"/>
  <c r="T111"/>
  <c r="Y21"/>
  <c r="AC21"/>
  <c r="X6"/>
  <c r="AD6" s="1"/>
  <c r="U198"/>
  <c r="T198"/>
  <c r="V198"/>
  <c r="T28"/>
  <c r="U28"/>
  <c r="V28"/>
  <c r="X106"/>
  <c r="V158"/>
  <c r="U158"/>
  <c r="T158"/>
  <c r="X14"/>
  <c r="AB14" s="1"/>
  <c r="Y10"/>
  <c r="AC10"/>
  <c r="AB56"/>
  <c r="X56"/>
  <c r="Y56" s="1"/>
  <c r="X192"/>
  <c r="Y192" s="1"/>
  <c r="X27"/>
  <c r="Y27" s="1"/>
  <c r="X93"/>
  <c r="Y93" s="1"/>
  <c r="X75"/>
  <c r="Y75" s="1"/>
  <c r="V54"/>
  <c r="T54"/>
  <c r="U54"/>
  <c r="U136"/>
  <c r="V136"/>
  <c r="T136"/>
  <c r="X112"/>
  <c r="Y112" s="1"/>
  <c r="U164"/>
  <c r="V164"/>
  <c r="T164"/>
  <c r="U135"/>
  <c r="V135"/>
  <c r="T135"/>
  <c r="X52"/>
  <c r="AB52" s="1"/>
  <c r="Y69"/>
  <c r="AC69"/>
  <c r="Y29"/>
  <c r="AC29"/>
  <c r="X40"/>
  <c r="AB40" s="1"/>
  <c r="Y26"/>
  <c r="AC26"/>
  <c r="X110"/>
  <c r="Y110" s="1"/>
  <c r="X171"/>
  <c r="Y171" s="1"/>
  <c r="X70"/>
  <c r="Y70" s="1"/>
  <c r="X126"/>
  <c r="Y126" s="1"/>
  <c r="V191"/>
  <c r="U191"/>
  <c r="T191"/>
  <c r="U83"/>
  <c r="V83"/>
  <c r="T83"/>
  <c r="V85"/>
  <c r="U85"/>
  <c r="T85"/>
  <c r="Y34"/>
  <c r="AC34"/>
  <c r="T71"/>
  <c r="U71"/>
  <c r="V71"/>
  <c r="T162"/>
  <c r="V162"/>
  <c r="U162"/>
  <c r="T150"/>
  <c r="V150"/>
  <c r="U150"/>
  <c r="X199"/>
  <c r="AB199"/>
  <c r="X38"/>
  <c r="AD38" s="1"/>
  <c r="Y87"/>
  <c r="AB87"/>
  <c r="V102"/>
  <c r="U102"/>
  <c r="T102"/>
  <c r="Y42"/>
  <c r="AC42"/>
  <c r="AB50"/>
  <c r="X50"/>
  <c r="Y13"/>
  <c r="AC13"/>
  <c r="AB114"/>
  <c r="X114"/>
  <c r="X152"/>
  <c r="AD152" s="1"/>
  <c r="X176"/>
  <c r="Y176" s="1"/>
  <c r="X144"/>
  <c r="AB144" s="1"/>
  <c r="X12"/>
  <c r="AB107"/>
  <c r="X107"/>
  <c r="AB48"/>
  <c r="X48"/>
  <c r="X157"/>
  <c r="AB157" s="1"/>
  <c r="X183"/>
  <c r="T63"/>
  <c r="U63"/>
  <c r="V63"/>
  <c r="T99"/>
  <c r="U99"/>
  <c r="V99"/>
  <c r="V84"/>
  <c r="U84"/>
  <c r="T84"/>
  <c r="T39"/>
  <c r="U39"/>
  <c r="V39"/>
  <c r="V15"/>
  <c r="U15"/>
  <c r="T15"/>
  <c r="X128"/>
  <c r="AB128"/>
  <c r="AB8"/>
  <c r="X8"/>
  <c r="Y8" s="1"/>
  <c r="X79"/>
  <c r="Y79" s="1"/>
  <c r="X96"/>
  <c r="Y96" s="1"/>
  <c r="X3"/>
  <c r="Y3" s="1"/>
  <c r="AB3"/>
  <c r="X190"/>
  <c r="Y190" s="1"/>
  <c r="X188"/>
  <c r="Y188" s="1"/>
  <c r="X146"/>
  <c r="Y146" s="1"/>
  <c r="X154"/>
  <c r="Y154" s="1"/>
  <c r="X197"/>
  <c r="Y197" s="1"/>
  <c r="X88"/>
  <c r="Y88" s="1"/>
  <c r="AC128"/>
  <c r="AC50"/>
  <c r="AC114"/>
  <c r="AC107"/>
  <c r="AD112"/>
  <c r="AC96"/>
  <c r="AD70"/>
  <c r="AD19"/>
  <c r="AD29"/>
  <c r="AD151"/>
  <c r="AD21"/>
  <c r="AD120"/>
  <c r="AD35"/>
  <c r="AC188"/>
  <c r="AD93"/>
  <c r="AD75"/>
  <c r="AC133"/>
  <c r="AD176"/>
  <c r="AD74"/>
  <c r="AC151"/>
  <c r="AD58"/>
  <c r="AD34"/>
  <c r="AB74"/>
  <c r="AB21"/>
  <c r="AB133"/>
  <c r="AC77"/>
  <c r="AC138"/>
  <c r="AC87"/>
  <c r="AD42"/>
  <c r="AB10"/>
  <c r="AC192"/>
  <c r="X104"/>
  <c r="AB77"/>
  <c r="AD149"/>
  <c r="X147"/>
  <c r="AD147" s="1"/>
  <c r="AC36"/>
  <c r="AC110"/>
  <c r="AC170"/>
  <c r="AC126"/>
  <c r="AC51"/>
  <c r="V23"/>
  <c r="U23"/>
  <c r="T23"/>
  <c r="V91"/>
  <c r="T91"/>
  <c r="U91"/>
  <c r="T31"/>
  <c r="U31"/>
  <c r="V31"/>
  <c r="V148"/>
  <c r="T148"/>
  <c r="U148"/>
  <c r="V94"/>
  <c r="U94"/>
  <c r="T94"/>
  <c r="X134"/>
  <c r="Y134" s="1"/>
  <c r="X11"/>
  <c r="Y11" s="1"/>
  <c r="X180"/>
  <c r="Y180" s="1"/>
  <c r="X186"/>
  <c r="Y186" s="1"/>
  <c r="AB124"/>
  <c r="X124"/>
  <c r="Y124" s="1"/>
  <c r="X62"/>
  <c r="Y62" s="1"/>
  <c r="X46"/>
  <c r="Y46" s="1"/>
  <c r="X131"/>
  <c r="Y131" s="1"/>
  <c r="X51"/>
  <c r="Y51" s="1"/>
  <c r="X100"/>
  <c r="Y117"/>
  <c r="AB117"/>
  <c r="AC117"/>
  <c r="X195"/>
  <c r="AB195" s="1"/>
  <c r="Y2"/>
  <c r="AC2"/>
  <c r="Y125"/>
  <c r="AD125"/>
  <c r="X184"/>
  <c r="AB184" s="1"/>
  <c r="AB95"/>
  <c r="X95"/>
  <c r="V20"/>
  <c r="T20"/>
  <c r="U20"/>
  <c r="X82"/>
  <c r="Y82" s="1"/>
  <c r="Y18"/>
  <c r="AC18"/>
  <c r="X16"/>
  <c r="Y16" s="1"/>
  <c r="AB78"/>
  <c r="X78"/>
  <c r="Y78" s="1"/>
  <c r="X119"/>
  <c r="Y119" s="1"/>
  <c r="X123"/>
  <c r="Y123" s="1"/>
  <c r="X44"/>
  <c r="Y44" s="1"/>
  <c r="V90"/>
  <c r="T90"/>
  <c r="U90"/>
  <c r="X166"/>
  <c r="Y166" s="1"/>
  <c r="T142"/>
  <c r="V142"/>
  <c r="U142"/>
  <c r="V175"/>
  <c r="U175"/>
  <c r="T175"/>
  <c r="Y5"/>
  <c r="AC5"/>
  <c r="X32"/>
  <c r="X64"/>
  <c r="AC64" s="1"/>
  <c r="AB103"/>
  <c r="X103"/>
  <c r="Y103" s="1"/>
  <c r="X24"/>
  <c r="AB24" s="1"/>
  <c r="Y143"/>
  <c r="AD143"/>
  <c r="T7"/>
  <c r="V7"/>
  <c r="U7"/>
  <c r="V165"/>
  <c r="T165"/>
  <c r="U165"/>
  <c r="U156"/>
  <c r="T156"/>
  <c r="V156"/>
  <c r="U86"/>
  <c r="V86"/>
  <c r="T86"/>
  <c r="X53"/>
  <c r="AC53" s="1"/>
  <c r="AB200"/>
  <c r="X200"/>
  <c r="X167"/>
  <c r="Y167" s="1"/>
  <c r="Y37"/>
  <c r="AC37"/>
  <c r="AB72"/>
  <c r="X72"/>
  <c r="Y72" s="1"/>
  <c r="Y66"/>
  <c r="AC66"/>
  <c r="X35"/>
  <c r="Y35" s="1"/>
  <c r="X115"/>
  <c r="Y115" s="1"/>
  <c r="X174"/>
  <c r="Y174" s="1"/>
  <c r="X60"/>
  <c r="Y60" s="1"/>
  <c r="X76"/>
  <c r="Y76" s="1"/>
  <c r="X101"/>
  <c r="Y101" s="1"/>
  <c r="X132"/>
  <c r="Y132" s="1"/>
  <c r="X59"/>
  <c r="Y59" s="1"/>
  <c r="AB59"/>
  <c r="AB108"/>
  <c r="X108"/>
  <c r="Y108" s="1"/>
  <c r="X127"/>
  <c r="Y127" s="1"/>
  <c r="X170"/>
  <c r="Y170" s="1"/>
  <c r="AB170"/>
  <c r="X173"/>
  <c r="Y173" s="1"/>
  <c r="X80"/>
  <c r="Y80" s="1"/>
  <c r="X140"/>
  <c r="Y140" s="1"/>
  <c r="AD8"/>
  <c r="AD72"/>
  <c r="AC155"/>
  <c r="AC194"/>
  <c r="AC120"/>
  <c r="AC115"/>
  <c r="AD3"/>
  <c r="AC19"/>
  <c r="AD119"/>
  <c r="AD170"/>
  <c r="AC197"/>
  <c r="AC80"/>
  <c r="AD199"/>
  <c r="AD192"/>
  <c r="AD14"/>
  <c r="AC167"/>
  <c r="X160"/>
  <c r="AC160" s="1"/>
  <c r="AC3"/>
  <c r="AC186"/>
  <c r="AD124"/>
  <c r="AC146"/>
  <c r="AD197"/>
  <c r="AD51"/>
  <c r="X22"/>
  <c r="AD22" s="1"/>
  <c r="AD103"/>
  <c r="AD181"/>
  <c r="AD69"/>
  <c r="AC184"/>
  <c r="X141"/>
  <c r="AD141" s="1"/>
  <c r="AB19"/>
  <c r="AD10"/>
  <c r="AD26"/>
  <c r="AD106"/>
  <c r="AC181"/>
  <c r="AD5"/>
  <c r="AD18"/>
  <c r="AC61"/>
  <c r="AD87"/>
  <c r="AC40"/>
  <c r="AB151"/>
  <c r="X178"/>
  <c r="AD178" s="1"/>
  <c r="X168"/>
  <c r="AC16"/>
  <c r="AC149"/>
  <c r="X92"/>
  <c r="AC180"/>
  <c r="AC124"/>
  <c r="X172"/>
  <c r="AD172" s="1"/>
  <c r="AD78"/>
  <c r="AC123"/>
  <c r="AD154"/>
  <c r="AC131"/>
  <c r="B178" i="13"/>
  <c r="B176"/>
  <c r="B175"/>
  <c r="B174"/>
  <c r="B173"/>
  <c r="B172"/>
  <c r="B171"/>
  <c r="Y163" i="20" l="1"/>
  <c r="AC163"/>
  <c r="AD30"/>
  <c r="AD126"/>
  <c r="AB38"/>
  <c r="AD187"/>
  <c r="AD131"/>
  <c r="AD96"/>
  <c r="AB60"/>
  <c r="AB115"/>
  <c r="AB53"/>
  <c r="AB16"/>
  <c r="AB131"/>
  <c r="AD80"/>
  <c r="AC88"/>
  <c r="AD188"/>
  <c r="AB197"/>
  <c r="X68"/>
  <c r="AB118"/>
  <c r="AB70"/>
  <c r="AB112"/>
  <c r="X182"/>
  <c r="AC182" s="1"/>
  <c r="X187"/>
  <c r="AC22"/>
  <c r="AC27"/>
  <c r="AC195"/>
  <c r="AB44"/>
  <c r="AD60"/>
  <c r="AC140"/>
  <c r="AC60"/>
  <c r="AC44"/>
  <c r="AD146"/>
  <c r="AD27"/>
  <c r="AD163"/>
  <c r="AD46"/>
  <c r="AD134"/>
  <c r="AD88"/>
  <c r="AB140"/>
  <c r="AC93"/>
  <c r="AD59"/>
  <c r="AC79"/>
  <c r="AB79"/>
  <c r="AB152"/>
  <c r="AB126"/>
  <c r="AA81"/>
  <c r="Y168"/>
  <c r="AB168"/>
  <c r="AC168"/>
  <c r="X86"/>
  <c r="Y86" s="1"/>
  <c r="Y32"/>
  <c r="AD32"/>
  <c r="Y100"/>
  <c r="AC100"/>
  <c r="X94"/>
  <c r="Y94" s="1"/>
  <c r="X31"/>
  <c r="Y31" s="1"/>
  <c r="Y4"/>
  <c r="Z9" s="1"/>
  <c r="AB4"/>
  <c r="AD4"/>
  <c r="Y183"/>
  <c r="AC183"/>
  <c r="Y47"/>
  <c r="AC47"/>
  <c r="X135"/>
  <c r="Y135" s="1"/>
  <c r="X54"/>
  <c r="Y54" s="1"/>
  <c r="X111"/>
  <c r="Y111" s="1"/>
  <c r="AB111"/>
  <c r="Y92"/>
  <c r="AB92"/>
  <c r="Y30"/>
  <c r="AB30"/>
  <c r="X165"/>
  <c r="Y165" s="1"/>
  <c r="Y24"/>
  <c r="AD24"/>
  <c r="Y43"/>
  <c r="AD43"/>
  <c r="Y118"/>
  <c r="AC118"/>
  <c r="Y12"/>
  <c r="AD12"/>
  <c r="AC12"/>
  <c r="X102"/>
  <c r="Y102" s="1"/>
  <c r="AB102"/>
  <c r="X162"/>
  <c r="Y162" s="1"/>
  <c r="X164"/>
  <c r="Y164" s="1"/>
  <c r="Y106"/>
  <c r="AC106"/>
  <c r="Y200"/>
  <c r="AD200"/>
  <c r="Y67"/>
  <c r="AB67"/>
  <c r="AC67"/>
  <c r="Y160"/>
  <c r="AB160"/>
  <c r="Y53"/>
  <c r="AD53"/>
  <c r="X142"/>
  <c r="Y142" s="1"/>
  <c r="X20"/>
  <c r="Y20" s="1"/>
  <c r="Y184"/>
  <c r="AD184"/>
  <c r="Y195"/>
  <c r="AD195"/>
  <c r="Y147"/>
  <c r="AB147"/>
  <c r="Y128"/>
  <c r="AA129" s="1"/>
  <c r="AD128"/>
  <c r="X84"/>
  <c r="Y84" s="1"/>
  <c r="X63"/>
  <c r="Y63" s="1"/>
  <c r="Y48"/>
  <c r="AC48"/>
  <c r="AD48"/>
  <c r="Y114"/>
  <c r="AD114"/>
  <c r="Y199"/>
  <c r="AC199"/>
  <c r="X85"/>
  <c r="Y85" s="1"/>
  <c r="AB85"/>
  <c r="AB136"/>
  <c r="X136"/>
  <c r="Y136" s="1"/>
  <c r="Y14"/>
  <c r="AC14"/>
  <c r="AD28"/>
  <c r="AC46"/>
  <c r="AB166"/>
  <c r="AB46"/>
  <c r="AG42" s="1" a="1"/>
  <c r="AD171"/>
  <c r="AC101"/>
  <c r="AD92"/>
  <c r="AC127"/>
  <c r="AC174"/>
  <c r="AC171"/>
  <c r="AD47"/>
  <c r="AD63"/>
  <c r="AB171"/>
  <c r="AC136"/>
  <c r="AB6"/>
  <c r="AD144"/>
  <c r="AB101"/>
  <c r="AD183"/>
  <c r="AD56"/>
  <c r="AC176"/>
  <c r="AC62"/>
  <c r="AD101"/>
  <c r="AC56"/>
  <c r="AC43"/>
  <c r="AC82"/>
  <c r="AB80"/>
  <c r="AB76"/>
  <c r="AB35"/>
  <c r="AB167"/>
  <c r="AD86"/>
  <c r="AB32"/>
  <c r="AB51"/>
  <c r="AB186"/>
  <c r="AB134"/>
  <c r="AD140"/>
  <c r="AD44"/>
  <c r="AC119"/>
  <c r="AC132"/>
  <c r="AD115"/>
  <c r="AC112"/>
  <c r="AC147"/>
  <c r="AD157"/>
  <c r="AC32"/>
  <c r="AD160"/>
  <c r="AD190"/>
  <c r="AD11"/>
  <c r="AD16"/>
  <c r="AD79"/>
  <c r="AC103"/>
  <c r="AC108"/>
  <c r="AC190"/>
  <c r="AC166"/>
  <c r="AC8"/>
  <c r="AB88"/>
  <c r="AB146"/>
  <c r="AB190"/>
  <c r="AB96"/>
  <c r="AB12"/>
  <c r="AB176"/>
  <c r="AD102"/>
  <c r="AC162"/>
  <c r="AB163"/>
  <c r="AD54"/>
  <c r="AB93"/>
  <c r="AB27"/>
  <c r="AB192"/>
  <c r="AB106"/>
  <c r="AC28"/>
  <c r="AD111"/>
  <c r="Y98"/>
  <c r="AB98"/>
  <c r="X156"/>
  <c r="Y156" s="1"/>
  <c r="Y64"/>
  <c r="AD64"/>
  <c r="X175"/>
  <c r="Y175" s="1"/>
  <c r="Z177" s="1"/>
  <c r="X148"/>
  <c r="Y148" s="1"/>
  <c r="X23"/>
  <c r="Y23" s="1"/>
  <c r="AA25" s="1"/>
  <c r="X39"/>
  <c r="Y39" s="1"/>
  <c r="Y144"/>
  <c r="AC144"/>
  <c r="X150"/>
  <c r="Y150" s="1"/>
  <c r="Y40"/>
  <c r="AD40"/>
  <c r="X198"/>
  <c r="Y198" s="1"/>
  <c r="AB198"/>
  <c r="Y6"/>
  <c r="AC6"/>
  <c r="Y172"/>
  <c r="AB172"/>
  <c r="Y141"/>
  <c r="AB141"/>
  <c r="Y22"/>
  <c r="AB22"/>
  <c r="X7"/>
  <c r="Y7" s="1"/>
  <c r="Y95"/>
  <c r="AD95"/>
  <c r="X15"/>
  <c r="Y15" s="1"/>
  <c r="X83"/>
  <c r="Y83" s="1"/>
  <c r="Y52"/>
  <c r="AD52"/>
  <c r="Y178"/>
  <c r="AC178"/>
  <c r="AB178"/>
  <c r="X90"/>
  <c r="Y90" s="1"/>
  <c r="X91"/>
  <c r="Y91" s="1"/>
  <c r="Y104"/>
  <c r="AC104"/>
  <c r="AB104"/>
  <c r="X99"/>
  <c r="Y99" s="1"/>
  <c r="AB99"/>
  <c r="Y157"/>
  <c r="AC157"/>
  <c r="Y107"/>
  <c r="AD107"/>
  <c r="Y152"/>
  <c r="AC152"/>
  <c r="Y50"/>
  <c r="AD50"/>
  <c r="Y38"/>
  <c r="AA41" s="1"/>
  <c r="AC38"/>
  <c r="X71"/>
  <c r="Y71" s="1"/>
  <c r="AB71"/>
  <c r="X191"/>
  <c r="Y191" s="1"/>
  <c r="Y55"/>
  <c r="AD55"/>
  <c r="AC55"/>
  <c r="X158"/>
  <c r="Y158" s="1"/>
  <c r="X28"/>
  <c r="Y28" s="1"/>
  <c r="AA33" s="1"/>
  <c r="AB28"/>
  <c r="Y179"/>
  <c r="AD179"/>
  <c r="AC179"/>
  <c r="AD127"/>
  <c r="AC63"/>
  <c r="Z81"/>
  <c r="AD186"/>
  <c r="AD174"/>
  <c r="AB132"/>
  <c r="AB174"/>
  <c r="AD156"/>
  <c r="AB123"/>
  <c r="AB119"/>
  <c r="AB180"/>
  <c r="AC31"/>
  <c r="AD62"/>
  <c r="AC11"/>
  <c r="AD82"/>
  <c r="AC72"/>
  <c r="AD132"/>
  <c r="AC172"/>
  <c r="AD84"/>
  <c r="AD85"/>
  <c r="AB47"/>
  <c r="AC54"/>
  <c r="AD198"/>
  <c r="AC75"/>
  <c r="AD110"/>
  <c r="AD118"/>
  <c r="AD167"/>
  <c r="AC95"/>
  <c r="AC52"/>
  <c r="AD166"/>
  <c r="AD123"/>
  <c r="AD98"/>
  <c r="AB173"/>
  <c r="AB127"/>
  <c r="AB64"/>
  <c r="AB82"/>
  <c r="AB100"/>
  <c r="AB62"/>
  <c r="AB11"/>
  <c r="AD94"/>
  <c r="AC173"/>
  <c r="AD108"/>
  <c r="AC78"/>
  <c r="AD180"/>
  <c r="AC35"/>
  <c r="AC200"/>
  <c r="AC4"/>
  <c r="AC24"/>
  <c r="AD168"/>
  <c r="AC98"/>
  <c r="AD104"/>
  <c r="AC154"/>
  <c r="AD76"/>
  <c r="AD100"/>
  <c r="AC92"/>
  <c r="AD173"/>
  <c r="AC59"/>
  <c r="AC76"/>
  <c r="AC30"/>
  <c r="AC141"/>
  <c r="AC134"/>
  <c r="AB154"/>
  <c r="AB188"/>
  <c r="AB183"/>
  <c r="AC85"/>
  <c r="AB110"/>
  <c r="AD136"/>
  <c r="AB75"/>
  <c r="AC111"/>
  <c r="B170" i="13"/>
  <c r="B168"/>
  <c r="B167"/>
  <c r="B166"/>
  <c r="B165"/>
  <c r="B164"/>
  <c r="B163"/>
  <c r="Y187" i="20" l="1"/>
  <c r="AA193" s="1"/>
  <c r="AB187"/>
  <c r="AG114" a="1"/>
  <c r="AD191"/>
  <c r="AD20"/>
  <c r="AD90"/>
  <c r="AB15"/>
  <c r="AG74" a="1"/>
  <c r="AC165"/>
  <c r="AD91"/>
  <c r="AD158"/>
  <c r="AB91"/>
  <c r="AB148"/>
  <c r="AB156"/>
  <c r="AG154" s="1" a="1"/>
  <c r="AC71"/>
  <c r="AC15"/>
  <c r="AG10" s="1" a="1"/>
  <c r="AH12" s="1"/>
  <c r="Z153"/>
  <c r="AB162"/>
  <c r="AC187"/>
  <c r="Y182"/>
  <c r="AB182"/>
  <c r="AG178" s="1" a="1"/>
  <c r="Y68"/>
  <c r="AB68"/>
  <c r="AC68"/>
  <c r="Z193"/>
  <c r="AA73"/>
  <c r="AA49"/>
  <c r="AC86"/>
  <c r="AB158"/>
  <c r="Z161"/>
  <c r="AD15"/>
  <c r="AC91"/>
  <c r="AD165"/>
  <c r="AA201"/>
  <c r="AB20"/>
  <c r="AB165"/>
  <c r="AB54"/>
  <c r="AG50" s="1" a="1"/>
  <c r="AJ53" s="1"/>
  <c r="AB86"/>
  <c r="AD182"/>
  <c r="AD162"/>
  <c r="AC20"/>
  <c r="AD7"/>
  <c r="AC158"/>
  <c r="AD99"/>
  <c r="AD68"/>
  <c r="Z201"/>
  <c r="AA177"/>
  <c r="Z25"/>
  <c r="AA161"/>
  <c r="AA137"/>
  <c r="Z33"/>
  <c r="Z129"/>
  <c r="AA153"/>
  <c r="AA89"/>
  <c r="AA65"/>
  <c r="Z73"/>
  <c r="Z17"/>
  <c r="AA9"/>
  <c r="AM77"/>
  <c r="AI77"/>
  <c r="AL76"/>
  <c r="AH76"/>
  <c r="AK75"/>
  <c r="AG75"/>
  <c r="AJ74"/>
  <c r="AJ77"/>
  <c r="AM76"/>
  <c r="AI76"/>
  <c r="AL75"/>
  <c r="AH75"/>
  <c r="AK74"/>
  <c r="AG74"/>
  <c r="AK77"/>
  <c r="AJ76"/>
  <c r="AI75"/>
  <c r="AH74"/>
  <c r="AG77"/>
  <c r="AM75"/>
  <c r="AL74"/>
  <c r="AL77"/>
  <c r="AK76"/>
  <c r="AJ75"/>
  <c r="AI74"/>
  <c r="AH77"/>
  <c r="AG76"/>
  <c r="AM74"/>
  <c r="AM13"/>
  <c r="AI13"/>
  <c r="AL12"/>
  <c r="AK11"/>
  <c r="AG11"/>
  <c r="AJ10"/>
  <c r="AM12"/>
  <c r="AI12"/>
  <c r="AL11"/>
  <c r="AK10"/>
  <c r="AG10"/>
  <c r="AK13"/>
  <c r="AJ12"/>
  <c r="AM11"/>
  <c r="AI11"/>
  <c r="AH10"/>
  <c r="AK12"/>
  <c r="AI10"/>
  <c r="AM10"/>
  <c r="AG12"/>
  <c r="AL13"/>
  <c r="AM52"/>
  <c r="AK50"/>
  <c r="AH52"/>
  <c r="AH53"/>
  <c r="AH50"/>
  <c r="AG51"/>
  <c r="AK53"/>
  <c r="AJ117"/>
  <c r="AM116"/>
  <c r="AI116"/>
  <c r="AL115"/>
  <c r="AH115"/>
  <c r="AK114"/>
  <c r="AG114"/>
  <c r="AM117"/>
  <c r="AH117"/>
  <c r="AJ116"/>
  <c r="AK115"/>
  <c r="AM114"/>
  <c r="AH114"/>
  <c r="AL117"/>
  <c r="AG117"/>
  <c r="AH116"/>
  <c r="AJ115"/>
  <c r="AL114"/>
  <c r="AK116"/>
  <c r="AG115"/>
  <c r="AL116"/>
  <c r="AJ114"/>
  <c r="AI117"/>
  <c r="AI115"/>
  <c r="AI114"/>
  <c r="AK117"/>
  <c r="AM115"/>
  <c r="AG116"/>
  <c r="AM45"/>
  <c r="AI45"/>
  <c r="AL44"/>
  <c r="AH44"/>
  <c r="AK43"/>
  <c r="AG43"/>
  <c r="AJ42"/>
  <c r="AK45"/>
  <c r="AG45"/>
  <c r="AJ44"/>
  <c r="AM43"/>
  <c r="AI43"/>
  <c r="AL42"/>
  <c r="AH42"/>
  <c r="AJ45"/>
  <c r="AM44"/>
  <c r="AI44"/>
  <c r="AL43"/>
  <c r="AH43"/>
  <c r="AK42"/>
  <c r="AG42"/>
  <c r="AK44"/>
  <c r="AI42"/>
  <c r="AG44"/>
  <c r="AH45"/>
  <c r="AM42"/>
  <c r="AL45"/>
  <c r="AJ43"/>
  <c r="Z57"/>
  <c r="AA57"/>
  <c r="Z97"/>
  <c r="AA97"/>
  <c r="Z145"/>
  <c r="AA145"/>
  <c r="Z121"/>
  <c r="AA121"/>
  <c r="AA169"/>
  <c r="Z169"/>
  <c r="AG106" a="1"/>
  <c r="Z41"/>
  <c r="AG122" a="1"/>
  <c r="AD83"/>
  <c r="AB175"/>
  <c r="AC83"/>
  <c r="AC23"/>
  <c r="AC175"/>
  <c r="AC191"/>
  <c r="Z137"/>
  <c r="AC135"/>
  <c r="AC150"/>
  <c r="AD39"/>
  <c r="AD23"/>
  <c r="AD175"/>
  <c r="Z65"/>
  <c r="AA17"/>
  <c r="Z49"/>
  <c r="AB7"/>
  <c r="AB150"/>
  <c r="AB23"/>
  <c r="AC198"/>
  <c r="AG194" s="1" a="1"/>
  <c r="AD135"/>
  <c r="AC99"/>
  <c r="AC94"/>
  <c r="AC90"/>
  <c r="AC156"/>
  <c r="AC148"/>
  <c r="AC102"/>
  <c r="AB63"/>
  <c r="AG58" s="1" a="1"/>
  <c r="AB84"/>
  <c r="Z89"/>
  <c r="AB135"/>
  <c r="AB31"/>
  <c r="AG26" s="1" a="1"/>
  <c r="Z113"/>
  <c r="AA113"/>
  <c r="Z185"/>
  <c r="AA185"/>
  <c r="AA105"/>
  <c r="Z105"/>
  <c r="AD31"/>
  <c r="AB90"/>
  <c r="AB83"/>
  <c r="AB39"/>
  <c r="AB142"/>
  <c r="AG138" s="1" a="1"/>
  <c r="AC84"/>
  <c r="AD150"/>
  <c r="AD164"/>
  <c r="AB191"/>
  <c r="AG186" s="1" a="1"/>
  <c r="AC164"/>
  <c r="AD148"/>
  <c r="AC7"/>
  <c r="AG34" a="1"/>
  <c r="AC39"/>
  <c r="AC142"/>
  <c r="AD71"/>
  <c r="AG66" s="1" a="1"/>
  <c r="AD142"/>
  <c r="AB164"/>
  <c r="AB94"/>
  <c r="B162" i="13"/>
  <c r="B160"/>
  <c r="B159"/>
  <c r="B158"/>
  <c r="B157"/>
  <c r="B156"/>
  <c r="B155"/>
  <c r="AG82" i="20" l="1" a="1"/>
  <c r="AI50"/>
  <c r="AJ52"/>
  <c r="AG50"/>
  <c r="AI52"/>
  <c r="AG162" a="1"/>
  <c r="AH164" s="1"/>
  <c r="AG146" a="1"/>
  <c r="AG148" s="1"/>
  <c r="AG98" a="1"/>
  <c r="AG18" a="1"/>
  <c r="AG52"/>
  <c r="AI51"/>
  <c r="AK52"/>
  <c r="AK51"/>
  <c r="AL50"/>
  <c r="AL53"/>
  <c r="AL51"/>
  <c r="AJ11"/>
  <c r="AH13"/>
  <c r="AL10"/>
  <c r="AG13"/>
  <c r="AH11"/>
  <c r="AJ13"/>
  <c r="AG2" a="1"/>
  <c r="AH4" s="1"/>
  <c r="AJ50"/>
  <c r="AI53"/>
  <c r="AJ51"/>
  <c r="AL52"/>
  <c r="AM51"/>
  <c r="AM50"/>
  <c r="AM53"/>
  <c r="AG53"/>
  <c r="AH51"/>
  <c r="AM69"/>
  <c r="AI69"/>
  <c r="AL68"/>
  <c r="AH68"/>
  <c r="AK67"/>
  <c r="AG67"/>
  <c r="AJ66"/>
  <c r="AJ69"/>
  <c r="AM68"/>
  <c r="AI68"/>
  <c r="AL67"/>
  <c r="AH67"/>
  <c r="AK66"/>
  <c r="AG66"/>
  <c r="AH69"/>
  <c r="AG68"/>
  <c r="AM66"/>
  <c r="AL69"/>
  <c r="AK68"/>
  <c r="AJ67"/>
  <c r="AI66"/>
  <c r="AG69"/>
  <c r="AL66"/>
  <c r="AK69"/>
  <c r="AJ68"/>
  <c r="AI67"/>
  <c r="AH66"/>
  <c r="AM67"/>
  <c r="AI5"/>
  <c r="AL4"/>
  <c r="AG3"/>
  <c r="AJ2"/>
  <c r="AI4"/>
  <c r="AL3"/>
  <c r="AG2"/>
  <c r="AK5"/>
  <c r="AM3"/>
  <c r="AI3"/>
  <c r="AH5"/>
  <c r="AM2"/>
  <c r="AG4"/>
  <c r="AK4"/>
  <c r="AL85"/>
  <c r="AH85"/>
  <c r="AK84"/>
  <c r="AG84"/>
  <c r="AJ83"/>
  <c r="AM82"/>
  <c r="AI82"/>
  <c r="AK85"/>
  <c r="AM84"/>
  <c r="AH84"/>
  <c r="AI83"/>
  <c r="AK82"/>
  <c r="AM85"/>
  <c r="AG85"/>
  <c r="AI84"/>
  <c r="AK83"/>
  <c r="AL82"/>
  <c r="AG82"/>
  <c r="AJ84"/>
  <c r="AG83"/>
  <c r="AL83"/>
  <c r="AH82"/>
  <c r="AJ85"/>
  <c r="AM83"/>
  <c r="AJ82"/>
  <c r="AL84"/>
  <c r="AH83"/>
  <c r="AI85"/>
  <c r="AI165"/>
  <c r="AG163"/>
  <c r="AK164"/>
  <c r="AI162"/>
  <c r="AK165"/>
  <c r="AM163"/>
  <c r="AG165"/>
  <c r="AH149"/>
  <c r="AK148"/>
  <c r="AM146"/>
  <c r="AI146"/>
  <c r="AL147"/>
  <c r="AG147"/>
  <c r="AG149"/>
  <c r="AI148"/>
  <c r="AG146"/>
  <c r="AK149"/>
  <c r="AJ149"/>
  <c r="AM147"/>
  <c r="AM148"/>
  <c r="AH147"/>
  <c r="AM101"/>
  <c r="AI101"/>
  <c r="AL100"/>
  <c r="AH100"/>
  <c r="AK99"/>
  <c r="AG99"/>
  <c r="AJ98"/>
  <c r="AL101"/>
  <c r="AH101"/>
  <c r="AK100"/>
  <c r="AG100"/>
  <c r="AJ99"/>
  <c r="AM98"/>
  <c r="AI98"/>
  <c r="AK101"/>
  <c r="AJ100"/>
  <c r="AI99"/>
  <c r="AH98"/>
  <c r="AG101"/>
  <c r="AL99"/>
  <c r="AG98"/>
  <c r="AJ101"/>
  <c r="AM99"/>
  <c r="AK98"/>
  <c r="AL98"/>
  <c r="AI100"/>
  <c r="AM100"/>
  <c r="AH99"/>
  <c r="AM21"/>
  <c r="AI21"/>
  <c r="AL20"/>
  <c r="AH20"/>
  <c r="AK19"/>
  <c r="AG19"/>
  <c r="AJ18"/>
  <c r="AK21"/>
  <c r="AG21"/>
  <c r="AM19"/>
  <c r="AL18"/>
  <c r="AJ21"/>
  <c r="AM20"/>
  <c r="AI20"/>
  <c r="AL19"/>
  <c r="AH19"/>
  <c r="AK18"/>
  <c r="AG18"/>
  <c r="AJ20"/>
  <c r="AI19"/>
  <c r="AH18"/>
  <c r="AH21"/>
  <c r="AM18"/>
  <c r="AG20"/>
  <c r="AK20"/>
  <c r="AI18"/>
  <c r="AL21"/>
  <c r="AJ19"/>
  <c r="AJ189"/>
  <c r="AM188"/>
  <c r="AI188"/>
  <c r="AL187"/>
  <c r="AH187"/>
  <c r="AK186"/>
  <c r="AG186"/>
  <c r="AM189"/>
  <c r="AI189"/>
  <c r="AL188"/>
  <c r="AH188"/>
  <c r="AK187"/>
  <c r="AG187"/>
  <c r="AJ186"/>
  <c r="AH189"/>
  <c r="AG188"/>
  <c r="AM186"/>
  <c r="AG189"/>
  <c r="AM187"/>
  <c r="AL186"/>
  <c r="AL189"/>
  <c r="AJ187"/>
  <c r="AK189"/>
  <c r="AI187"/>
  <c r="AI186"/>
  <c r="AH186"/>
  <c r="AJ188"/>
  <c r="AK188"/>
  <c r="AM109"/>
  <c r="AI109"/>
  <c r="AL108"/>
  <c r="AH108"/>
  <c r="AK107"/>
  <c r="AG107"/>
  <c r="AJ106"/>
  <c r="AL109"/>
  <c r="AH109"/>
  <c r="AK108"/>
  <c r="AG108"/>
  <c r="AJ107"/>
  <c r="AM106"/>
  <c r="AI106"/>
  <c r="AJ109"/>
  <c r="AI108"/>
  <c r="AH107"/>
  <c r="AG106"/>
  <c r="AK109"/>
  <c r="AM107"/>
  <c r="AK106"/>
  <c r="AJ108"/>
  <c r="AL106"/>
  <c r="AL107"/>
  <c r="AH106"/>
  <c r="AM108"/>
  <c r="AG109"/>
  <c r="AI107"/>
  <c r="AJ181"/>
  <c r="AM180"/>
  <c r="AI180"/>
  <c r="AL179"/>
  <c r="AH179"/>
  <c r="AK178"/>
  <c r="AG178"/>
  <c r="AM181"/>
  <c r="AI181"/>
  <c r="AL180"/>
  <c r="AH180"/>
  <c r="AK179"/>
  <c r="AG179"/>
  <c r="AJ178"/>
  <c r="AK181"/>
  <c r="AJ180"/>
  <c r="AI179"/>
  <c r="AH178"/>
  <c r="AH181"/>
  <c r="AG180"/>
  <c r="AM178"/>
  <c r="AG181"/>
  <c r="AL178"/>
  <c r="AK180"/>
  <c r="AI178"/>
  <c r="AJ179"/>
  <c r="AM179"/>
  <c r="AL181"/>
  <c r="AG90" a="1"/>
  <c r="AG130" a="1"/>
  <c r="AJ197"/>
  <c r="AM196"/>
  <c r="AI196"/>
  <c r="AL195"/>
  <c r="AH195"/>
  <c r="AK194"/>
  <c r="AG194"/>
  <c r="AM197"/>
  <c r="AI197"/>
  <c r="AL196"/>
  <c r="AH196"/>
  <c r="AK195"/>
  <c r="AG195"/>
  <c r="AJ194"/>
  <c r="AL197"/>
  <c r="AK196"/>
  <c r="AJ195"/>
  <c r="AI194"/>
  <c r="AK197"/>
  <c r="AJ196"/>
  <c r="AI195"/>
  <c r="AH194"/>
  <c r="AM195"/>
  <c r="AH197"/>
  <c r="AM194"/>
  <c r="AL194"/>
  <c r="AG196"/>
  <c r="AG197"/>
  <c r="AJ141"/>
  <c r="AM140"/>
  <c r="AI140"/>
  <c r="AL139"/>
  <c r="AH139"/>
  <c r="AK138"/>
  <c r="AG138"/>
  <c r="AI141"/>
  <c r="AK140"/>
  <c r="AM139"/>
  <c r="AG139"/>
  <c r="AI138"/>
  <c r="AM141"/>
  <c r="AH141"/>
  <c r="AJ140"/>
  <c r="AK139"/>
  <c r="AM138"/>
  <c r="AH138"/>
  <c r="AK141"/>
  <c r="AG140"/>
  <c r="AJ138"/>
  <c r="AL141"/>
  <c r="AH140"/>
  <c r="AL138"/>
  <c r="AI139"/>
  <c r="AJ139"/>
  <c r="AL140"/>
  <c r="AG141"/>
  <c r="AO114" a="1"/>
  <c r="AY114" a="1"/>
  <c r="AM37"/>
  <c r="AI37"/>
  <c r="AL36"/>
  <c r="AH36"/>
  <c r="AK35"/>
  <c r="AG35"/>
  <c r="AJ34"/>
  <c r="AJ37"/>
  <c r="AM36"/>
  <c r="AI36"/>
  <c r="AL35"/>
  <c r="AH35"/>
  <c r="AK34"/>
  <c r="AG34"/>
  <c r="AK37"/>
  <c r="AG37"/>
  <c r="AJ36"/>
  <c r="AM35"/>
  <c r="AI35"/>
  <c r="AL34"/>
  <c r="AH34"/>
  <c r="AK36"/>
  <c r="AI34"/>
  <c r="AH37"/>
  <c r="AG36"/>
  <c r="AM34"/>
  <c r="AL37"/>
  <c r="AJ35"/>
  <c r="AL157"/>
  <c r="AH157"/>
  <c r="AK156"/>
  <c r="AG156"/>
  <c r="AJ155"/>
  <c r="AM154"/>
  <c r="AI154"/>
  <c r="AI157"/>
  <c r="AJ156"/>
  <c r="AL155"/>
  <c r="AG155"/>
  <c r="AH154"/>
  <c r="AM157"/>
  <c r="AG157"/>
  <c r="AI156"/>
  <c r="AK155"/>
  <c r="AL154"/>
  <c r="AG154"/>
  <c r="AL156"/>
  <c r="AH155"/>
  <c r="AK157"/>
  <c r="AH156"/>
  <c r="AK154"/>
  <c r="AI155"/>
  <c r="AM155"/>
  <c r="AM156"/>
  <c r="AJ157"/>
  <c r="AJ154"/>
  <c r="AM29"/>
  <c r="AI29"/>
  <c r="AL28"/>
  <c r="AH28"/>
  <c r="AK27"/>
  <c r="AG27"/>
  <c r="AJ26"/>
  <c r="AK29"/>
  <c r="AG29"/>
  <c r="AJ28"/>
  <c r="AM27"/>
  <c r="AI27"/>
  <c r="AL26"/>
  <c r="AH26"/>
  <c r="AJ29"/>
  <c r="AM28"/>
  <c r="AI28"/>
  <c r="AL27"/>
  <c r="AH27"/>
  <c r="AK26"/>
  <c r="AG26"/>
  <c r="AK28"/>
  <c r="AI26"/>
  <c r="AL29"/>
  <c r="AJ27"/>
  <c r="AG28"/>
  <c r="AH29"/>
  <c r="AM26"/>
  <c r="AG170" a="1"/>
  <c r="AO10" a="1"/>
  <c r="AY10" a="1"/>
  <c r="AO74" a="1"/>
  <c r="AY74" a="1"/>
  <c r="AM61"/>
  <c r="AI61"/>
  <c r="AL60"/>
  <c r="AH60"/>
  <c r="AK59"/>
  <c r="AG59"/>
  <c r="AJ58"/>
  <c r="AJ61"/>
  <c r="AM60"/>
  <c r="AI60"/>
  <c r="AL59"/>
  <c r="AH59"/>
  <c r="AK58"/>
  <c r="AG58"/>
  <c r="AG61"/>
  <c r="AM59"/>
  <c r="AL58"/>
  <c r="AH61"/>
  <c r="AG60"/>
  <c r="AM58"/>
  <c r="AK61"/>
  <c r="AJ60"/>
  <c r="AI59"/>
  <c r="AH58"/>
  <c r="AL61"/>
  <c r="AK60"/>
  <c r="AI58"/>
  <c r="AJ59"/>
  <c r="AJ125"/>
  <c r="AM124"/>
  <c r="AI124"/>
  <c r="AL123"/>
  <c r="AH123"/>
  <c r="AK122"/>
  <c r="AG122"/>
  <c r="AL125"/>
  <c r="AG125"/>
  <c r="AH124"/>
  <c r="AJ123"/>
  <c r="AL122"/>
  <c r="AK125"/>
  <c r="AL124"/>
  <c r="AG124"/>
  <c r="AI123"/>
  <c r="AJ122"/>
  <c r="AM125"/>
  <c r="AJ124"/>
  <c r="AM122"/>
  <c r="AK124"/>
  <c r="AG123"/>
  <c r="AI125"/>
  <c r="AI122"/>
  <c r="AK123"/>
  <c r="AH125"/>
  <c r="AM123"/>
  <c r="AH122"/>
  <c r="AO42" a="1"/>
  <c r="AY42" a="1"/>
  <c r="AO50" a="1"/>
  <c r="AY50" a="1"/>
  <c r="B154" i="13"/>
  <c r="B152"/>
  <c r="B151"/>
  <c r="B150"/>
  <c r="B149"/>
  <c r="B148"/>
  <c r="B147"/>
  <c r="AL148" i="20" l="1"/>
  <c r="AK146"/>
  <c r="AL146"/>
  <c r="AM149"/>
  <c r="AJ148"/>
  <c r="AJ147"/>
  <c r="AL149"/>
  <c r="AI164"/>
  <c r="AH162"/>
  <c r="AO162" s="1" a="1"/>
  <c r="AK162"/>
  <c r="AM162"/>
  <c r="AH165"/>
  <c r="AK163"/>
  <c r="AM165"/>
  <c r="AJ3"/>
  <c r="AH2"/>
  <c r="AJ4"/>
  <c r="AK2"/>
  <c r="AM4"/>
  <c r="AK3"/>
  <c r="AM5"/>
  <c r="AL162"/>
  <c r="AJ165"/>
  <c r="AJ164"/>
  <c r="AM164"/>
  <c r="AG164"/>
  <c r="AJ162"/>
  <c r="AL164"/>
  <c r="AI147"/>
  <c r="AJ146"/>
  <c r="AH148"/>
  <c r="AK147"/>
  <c r="AH146"/>
  <c r="AO146" s="1" a="1"/>
  <c r="AI149"/>
  <c r="AG162"/>
  <c r="AH163"/>
  <c r="AI163"/>
  <c r="AL163"/>
  <c r="AJ163"/>
  <c r="AL165"/>
  <c r="AI2"/>
  <c r="AY2" s="1" a="1"/>
  <c r="AL5"/>
  <c r="AL2"/>
  <c r="AG5"/>
  <c r="AH3"/>
  <c r="AJ5"/>
  <c r="AY74"/>
  <c r="AY75"/>
  <c r="AY76"/>
  <c r="AY77"/>
  <c r="AM93"/>
  <c r="AI93"/>
  <c r="AL92"/>
  <c r="AH92"/>
  <c r="AK91"/>
  <c r="AG91"/>
  <c r="AJ90"/>
  <c r="AL93"/>
  <c r="AH93"/>
  <c r="AK92"/>
  <c r="AG92"/>
  <c r="AJ91"/>
  <c r="AM90"/>
  <c r="AI90"/>
  <c r="AM92"/>
  <c r="AL91"/>
  <c r="AK90"/>
  <c r="AJ92"/>
  <c r="AH91"/>
  <c r="AG93"/>
  <c r="AI91"/>
  <c r="AG90"/>
  <c r="AI92"/>
  <c r="AJ93"/>
  <c r="AH90"/>
  <c r="AK93"/>
  <c r="AL90"/>
  <c r="AM91"/>
  <c r="AY98" a="1"/>
  <c r="AO98" a="1"/>
  <c r="AQ13"/>
  <c r="AQ12"/>
  <c r="AQ11"/>
  <c r="AQ10"/>
  <c r="AR13"/>
  <c r="AR12"/>
  <c r="AR11"/>
  <c r="AR10"/>
  <c r="AO13"/>
  <c r="AO12"/>
  <c r="AO11"/>
  <c r="AO10"/>
  <c r="AP11"/>
  <c r="AP12"/>
  <c r="AP10"/>
  <c r="AP13"/>
  <c r="AY154" a="1"/>
  <c r="AO154" a="1"/>
  <c r="AO34" a="1"/>
  <c r="AY34" a="1"/>
  <c r="AJ133"/>
  <c r="AM132"/>
  <c r="AI132"/>
  <c r="AL131"/>
  <c r="AH131"/>
  <c r="AK130"/>
  <c r="AG130"/>
  <c r="AK133"/>
  <c r="AL132"/>
  <c r="AG132"/>
  <c r="AI131"/>
  <c r="AJ130"/>
  <c r="AI133"/>
  <c r="AK132"/>
  <c r="AM131"/>
  <c r="AG131"/>
  <c r="AI130"/>
  <c r="AL133"/>
  <c r="AH132"/>
  <c r="AL130"/>
  <c r="AM133"/>
  <c r="AJ132"/>
  <c r="AM130"/>
  <c r="AH133"/>
  <c r="AH130"/>
  <c r="AJ131"/>
  <c r="AK131"/>
  <c r="AG133"/>
  <c r="AY106" a="1"/>
  <c r="AO106" a="1"/>
  <c r="AO18" a="1"/>
  <c r="AY18" a="1"/>
  <c r="AY146" a="1"/>
  <c r="AY82" a="1"/>
  <c r="AO82" a="1"/>
  <c r="AO2" a="1"/>
  <c r="AO66" a="1"/>
  <c r="AY66" a="1"/>
  <c r="AY43"/>
  <c r="AY44"/>
  <c r="AY45"/>
  <c r="AY42"/>
  <c r="AO58" a="1"/>
  <c r="AY58" a="1"/>
  <c r="AY10"/>
  <c r="AY12"/>
  <c r="AY11"/>
  <c r="AY13"/>
  <c r="AR117"/>
  <c r="AR116"/>
  <c r="AR115"/>
  <c r="AR114"/>
  <c r="AQ117"/>
  <c r="AP116"/>
  <c r="AO115"/>
  <c r="AP117"/>
  <c r="AO116"/>
  <c r="AQ114"/>
  <c r="AQ116"/>
  <c r="AO114"/>
  <c r="AP115"/>
  <c r="AQ115"/>
  <c r="AP114"/>
  <c r="AO117"/>
  <c r="AO178" a="1"/>
  <c r="AY178" a="1"/>
  <c r="AO186" a="1"/>
  <c r="AY186" a="1"/>
  <c r="AY51"/>
  <c r="AY50"/>
  <c r="AY53"/>
  <c r="AY52"/>
  <c r="AM173"/>
  <c r="AI173"/>
  <c r="AL172"/>
  <c r="AH172"/>
  <c r="AK171"/>
  <c r="AG171"/>
  <c r="AJ170"/>
  <c r="AL173"/>
  <c r="AH173"/>
  <c r="AK172"/>
  <c r="AG172"/>
  <c r="AJ171"/>
  <c r="AM170"/>
  <c r="AI170"/>
  <c r="AJ173"/>
  <c r="AI172"/>
  <c r="AH171"/>
  <c r="AG170"/>
  <c r="AG173"/>
  <c r="AM171"/>
  <c r="AL170"/>
  <c r="AK173"/>
  <c r="AI171"/>
  <c r="AM172"/>
  <c r="AK170"/>
  <c r="AH170"/>
  <c r="AL171"/>
  <c r="AJ172"/>
  <c r="AO26" a="1"/>
  <c r="AY26" a="1"/>
  <c r="AO138" a="1"/>
  <c r="AY138" a="1"/>
  <c r="AO194" a="1"/>
  <c r="AY194" a="1"/>
  <c r="AR45"/>
  <c r="AR44"/>
  <c r="AR43"/>
  <c r="AR42"/>
  <c r="AQ45"/>
  <c r="AP44"/>
  <c r="AO43"/>
  <c r="AO45"/>
  <c r="AQ43"/>
  <c r="AP42"/>
  <c r="AQ44"/>
  <c r="AP43"/>
  <c r="AO42"/>
  <c r="AO44"/>
  <c r="AQ42"/>
  <c r="AP45"/>
  <c r="AR53"/>
  <c r="AR52"/>
  <c r="AR51"/>
  <c r="AR50"/>
  <c r="AP53"/>
  <c r="AO52"/>
  <c r="AQ50"/>
  <c r="AQ53"/>
  <c r="AP52"/>
  <c r="AO51"/>
  <c r="AQ52"/>
  <c r="AP51"/>
  <c r="AO50"/>
  <c r="AP50"/>
  <c r="AQ51"/>
  <c r="AO53"/>
  <c r="AO122" a="1"/>
  <c r="AY122" a="1"/>
  <c r="AQ77"/>
  <c r="AQ76"/>
  <c r="AQ75"/>
  <c r="AQ74"/>
  <c r="AR77"/>
  <c r="AR76"/>
  <c r="AR75"/>
  <c r="AR74"/>
  <c r="AO77"/>
  <c r="AO75"/>
  <c r="AO76"/>
  <c r="AO74"/>
  <c r="AP77"/>
  <c r="AP75"/>
  <c r="AP76"/>
  <c r="AP74"/>
  <c r="AY115"/>
  <c r="AY116"/>
  <c r="AY114"/>
  <c r="AY117"/>
  <c r="B146" i="13"/>
  <c r="B144"/>
  <c r="B143"/>
  <c r="B142"/>
  <c r="B141"/>
  <c r="B140"/>
  <c r="B139"/>
  <c r="AY162" i="20" l="1" a="1"/>
  <c r="AY165" s="1"/>
  <c r="AR197"/>
  <c r="AR196"/>
  <c r="AR195"/>
  <c r="AR194"/>
  <c r="AQ197"/>
  <c r="AQ196"/>
  <c r="AQ195"/>
  <c r="AQ194"/>
  <c r="AP197"/>
  <c r="AP195"/>
  <c r="AO197"/>
  <c r="AO195"/>
  <c r="AO194"/>
  <c r="AP196"/>
  <c r="AO196"/>
  <c r="AP194"/>
  <c r="AR181"/>
  <c r="AR180"/>
  <c r="AR179"/>
  <c r="AR178"/>
  <c r="AQ181"/>
  <c r="AQ180"/>
  <c r="AQ179"/>
  <c r="AQ178"/>
  <c r="AO181"/>
  <c r="AO179"/>
  <c r="AP180"/>
  <c r="AP178"/>
  <c r="AO180"/>
  <c r="AP179"/>
  <c r="AP181"/>
  <c r="AO178"/>
  <c r="AY85"/>
  <c r="AY82"/>
  <c r="AY83"/>
  <c r="AY84"/>
  <c r="AQ37"/>
  <c r="AQ36"/>
  <c r="AQ35"/>
  <c r="AQ34"/>
  <c r="AR37"/>
  <c r="AR36"/>
  <c r="AR35"/>
  <c r="AR34"/>
  <c r="AO37"/>
  <c r="AO36"/>
  <c r="AO35"/>
  <c r="AO34"/>
  <c r="AP35"/>
  <c r="AP34"/>
  <c r="AP36"/>
  <c r="AP37"/>
  <c r="AY98"/>
  <c r="AY101"/>
  <c r="AY100"/>
  <c r="AY99"/>
  <c r="AY195"/>
  <c r="AY194"/>
  <c r="AY197"/>
  <c r="AY196"/>
  <c r="AY179"/>
  <c r="AY178"/>
  <c r="AY180"/>
  <c r="AY181"/>
  <c r="AP85"/>
  <c r="AP84"/>
  <c r="AP83"/>
  <c r="AP82"/>
  <c r="AO85"/>
  <c r="AR83"/>
  <c r="AQ82"/>
  <c r="AQ85"/>
  <c r="AO84"/>
  <c r="AR82"/>
  <c r="AQ84"/>
  <c r="AR85"/>
  <c r="AO83"/>
  <c r="AQ83"/>
  <c r="AR84"/>
  <c r="AO82"/>
  <c r="AY18"/>
  <c r="AY19"/>
  <c r="AY20"/>
  <c r="AY21"/>
  <c r="AY34"/>
  <c r="AY36"/>
  <c r="AY35"/>
  <c r="AY37"/>
  <c r="AQ101"/>
  <c r="AQ100"/>
  <c r="AQ99"/>
  <c r="AQ98"/>
  <c r="AP101"/>
  <c r="AP100"/>
  <c r="AP99"/>
  <c r="AP98"/>
  <c r="AO101"/>
  <c r="AO99"/>
  <c r="AR101"/>
  <c r="AR98"/>
  <c r="AR99"/>
  <c r="AO100"/>
  <c r="AR100"/>
  <c r="AO98"/>
  <c r="AY90" a="1"/>
  <c r="AO90" a="1"/>
  <c r="AR125"/>
  <c r="AR124"/>
  <c r="AR123"/>
  <c r="AR122"/>
  <c r="AP125"/>
  <c r="AO124"/>
  <c r="AQ122"/>
  <c r="AO125"/>
  <c r="AQ123"/>
  <c r="AP122"/>
  <c r="AP124"/>
  <c r="AQ124"/>
  <c r="AO122"/>
  <c r="AO123"/>
  <c r="AP123"/>
  <c r="AQ125"/>
  <c r="AR141"/>
  <c r="AR140"/>
  <c r="AR139"/>
  <c r="AR138"/>
  <c r="AQ140"/>
  <c r="AP139"/>
  <c r="AO138"/>
  <c r="AQ141"/>
  <c r="AP140"/>
  <c r="AO139"/>
  <c r="AQ139"/>
  <c r="AO140"/>
  <c r="AP138"/>
  <c r="AQ138"/>
  <c r="AP141"/>
  <c r="AO141"/>
  <c r="AR189"/>
  <c r="AR188"/>
  <c r="AR187"/>
  <c r="AR186"/>
  <c r="AQ189"/>
  <c r="AQ188"/>
  <c r="AQ187"/>
  <c r="AQ186"/>
  <c r="AP188"/>
  <c r="AP186"/>
  <c r="AO188"/>
  <c r="AO186"/>
  <c r="AP189"/>
  <c r="AO189"/>
  <c r="AP187"/>
  <c r="AO187"/>
  <c r="AQ61"/>
  <c r="AQ60"/>
  <c r="AQ59"/>
  <c r="AQ58"/>
  <c r="AR61"/>
  <c r="AR60"/>
  <c r="AR59"/>
  <c r="AR58"/>
  <c r="AO60"/>
  <c r="AO58"/>
  <c r="AP60"/>
  <c r="AP58"/>
  <c r="AO61"/>
  <c r="AO59"/>
  <c r="AP59"/>
  <c r="AP61"/>
  <c r="AQ5"/>
  <c r="AQ4"/>
  <c r="AQ3"/>
  <c r="AQ2"/>
  <c r="AR5"/>
  <c r="AR4"/>
  <c r="AR3"/>
  <c r="AR2"/>
  <c r="AO5"/>
  <c r="AO4"/>
  <c r="AO3"/>
  <c r="AO2"/>
  <c r="AP4"/>
  <c r="AP5"/>
  <c r="AP2"/>
  <c r="AP3"/>
  <c r="AY149"/>
  <c r="AY148"/>
  <c r="AY147"/>
  <c r="AY146"/>
  <c r="AY106"/>
  <c r="AY109"/>
  <c r="AY107"/>
  <c r="AY108"/>
  <c r="AY157"/>
  <c r="AY156"/>
  <c r="AY155"/>
  <c r="AY154"/>
  <c r="AT10" a="1"/>
  <c r="AT50" a="1"/>
  <c r="AT42" a="1"/>
  <c r="AY164"/>
  <c r="AQ29"/>
  <c r="AQ28"/>
  <c r="AQ27"/>
  <c r="AQ26"/>
  <c r="AO29"/>
  <c r="AO28"/>
  <c r="AO27"/>
  <c r="AO26"/>
  <c r="AR29"/>
  <c r="AR28"/>
  <c r="AR27"/>
  <c r="AR26"/>
  <c r="AP27"/>
  <c r="AP29"/>
  <c r="AP26"/>
  <c r="AP28"/>
  <c r="AQ69"/>
  <c r="AQ68"/>
  <c r="AQ67"/>
  <c r="AQ66"/>
  <c r="AR69"/>
  <c r="AR68"/>
  <c r="AR67"/>
  <c r="AR66"/>
  <c r="AP68"/>
  <c r="AP66"/>
  <c r="AP69"/>
  <c r="AP67"/>
  <c r="AO66"/>
  <c r="AO69"/>
  <c r="AO67"/>
  <c r="AO68"/>
  <c r="AQ21"/>
  <c r="AQ20"/>
  <c r="AQ19"/>
  <c r="AQ18"/>
  <c r="AO21"/>
  <c r="AO20"/>
  <c r="AO19"/>
  <c r="AO18"/>
  <c r="AR21"/>
  <c r="AR20"/>
  <c r="AR19"/>
  <c r="AR18"/>
  <c r="AP20"/>
  <c r="AP18"/>
  <c r="AP19"/>
  <c r="AP21"/>
  <c r="AO130" a="1"/>
  <c r="AY130" a="1"/>
  <c r="AQ165"/>
  <c r="AQ164"/>
  <c r="AQ163"/>
  <c r="AQ162"/>
  <c r="AP165"/>
  <c r="AP164"/>
  <c r="AP163"/>
  <c r="AP162"/>
  <c r="AR165"/>
  <c r="AR163"/>
  <c r="AO165"/>
  <c r="AO163"/>
  <c r="AO162"/>
  <c r="AR164"/>
  <c r="AR162"/>
  <c r="AO164"/>
  <c r="AY26"/>
  <c r="AY27"/>
  <c r="AY28"/>
  <c r="AY29"/>
  <c r="AY170" a="1"/>
  <c r="AO170" a="1"/>
  <c r="AY66"/>
  <c r="AY67"/>
  <c r="AY69"/>
  <c r="AY68"/>
  <c r="AY123"/>
  <c r="AY122"/>
  <c r="AY125"/>
  <c r="AY124"/>
  <c r="AY140"/>
  <c r="AY139"/>
  <c r="AY141"/>
  <c r="AY138"/>
  <c r="AY187"/>
  <c r="AY186"/>
  <c r="AY189"/>
  <c r="AY188"/>
  <c r="AY58"/>
  <c r="AY59"/>
  <c r="AY60"/>
  <c r="AY61"/>
  <c r="AY2"/>
  <c r="AY3"/>
  <c r="AY4"/>
  <c r="AY5"/>
  <c r="AP149"/>
  <c r="AP148"/>
  <c r="AP147"/>
  <c r="AP146"/>
  <c r="AR149"/>
  <c r="AQ148"/>
  <c r="AO147"/>
  <c r="AQ149"/>
  <c r="AO148"/>
  <c r="AR146"/>
  <c r="AR147"/>
  <c r="AQ147"/>
  <c r="AR148"/>
  <c r="AO149"/>
  <c r="AO146"/>
  <c r="AQ146"/>
  <c r="AQ109"/>
  <c r="AQ108"/>
  <c r="AQ107"/>
  <c r="AQ106"/>
  <c r="AP109"/>
  <c r="AP108"/>
  <c r="AP107"/>
  <c r="AP106"/>
  <c r="AR108"/>
  <c r="AR106"/>
  <c r="AR107"/>
  <c r="AO108"/>
  <c r="AO107"/>
  <c r="AO106"/>
  <c r="AO109"/>
  <c r="AR109"/>
  <c r="AP157"/>
  <c r="AP156"/>
  <c r="AP155"/>
  <c r="AP154"/>
  <c r="AR157"/>
  <c r="AQ156"/>
  <c r="AO155"/>
  <c r="AQ157"/>
  <c r="AO156"/>
  <c r="AR154"/>
  <c r="AR156"/>
  <c r="AO154"/>
  <c r="AR155"/>
  <c r="AQ154"/>
  <c r="AQ155"/>
  <c r="AO157"/>
  <c r="AT74" a="1"/>
  <c r="AT114" a="1"/>
  <c r="B138" i="13"/>
  <c r="B136"/>
  <c r="B135"/>
  <c r="B134"/>
  <c r="B133"/>
  <c r="B132"/>
  <c r="B131"/>
  <c r="AY163" i="20" l="1"/>
  <c r="AY162"/>
  <c r="AQ173"/>
  <c r="AQ172"/>
  <c r="AQ171"/>
  <c r="AQ170"/>
  <c r="AP173"/>
  <c r="AP172"/>
  <c r="AP171"/>
  <c r="AP170"/>
  <c r="AR172"/>
  <c r="AR170"/>
  <c r="AO172"/>
  <c r="AO170"/>
  <c r="AO173"/>
  <c r="AR171"/>
  <c r="AO171"/>
  <c r="AR173"/>
  <c r="AY90"/>
  <c r="AY93"/>
  <c r="AY91"/>
  <c r="AY92"/>
  <c r="AR133"/>
  <c r="AR132"/>
  <c r="AR131"/>
  <c r="AR130"/>
  <c r="AO133"/>
  <c r="AQ131"/>
  <c r="AP130"/>
  <c r="AQ132"/>
  <c r="AP131"/>
  <c r="AO130"/>
  <c r="AO132"/>
  <c r="AP132"/>
  <c r="AQ133"/>
  <c r="AQ130"/>
  <c r="AP133"/>
  <c r="AO131"/>
  <c r="AQ93"/>
  <c r="AQ92"/>
  <c r="AQ91"/>
  <c r="AQ90"/>
  <c r="AP93"/>
  <c r="AP92"/>
  <c r="AP91"/>
  <c r="AP90"/>
  <c r="AR93"/>
  <c r="AR91"/>
  <c r="AR92"/>
  <c r="AO90"/>
  <c r="AO93"/>
  <c r="AR90"/>
  <c r="AO92"/>
  <c r="AO91"/>
  <c r="AV117"/>
  <c r="AV116"/>
  <c r="AV115"/>
  <c r="AV114"/>
  <c r="AU117"/>
  <c r="AT116"/>
  <c r="AW114"/>
  <c r="AT117"/>
  <c r="AW115"/>
  <c r="AU114"/>
  <c r="AW117"/>
  <c r="AT115"/>
  <c r="AT114"/>
  <c r="AU115"/>
  <c r="AW116"/>
  <c r="AU116"/>
  <c r="AY131"/>
  <c r="AY133"/>
  <c r="AY132"/>
  <c r="AY130"/>
  <c r="AU13"/>
  <c r="AU12"/>
  <c r="AU11"/>
  <c r="AU10"/>
  <c r="AW13"/>
  <c r="AW12"/>
  <c r="AW11"/>
  <c r="AW10"/>
  <c r="AV13"/>
  <c r="AV12"/>
  <c r="AV11"/>
  <c r="AV10"/>
  <c r="AT11"/>
  <c r="AT10"/>
  <c r="AT12"/>
  <c r="AT13"/>
  <c r="AT18" a="1"/>
  <c r="AT26" a="1"/>
  <c r="AT194" a="1"/>
  <c r="AT66" a="1"/>
  <c r="AT2" a="1"/>
  <c r="AT186" a="1"/>
  <c r="AT106" a="1"/>
  <c r="AT122" a="1"/>
  <c r="AV45"/>
  <c r="AV44"/>
  <c r="AV43"/>
  <c r="AV42"/>
  <c r="AU45"/>
  <c r="AT44"/>
  <c r="AW42"/>
  <c r="AW44"/>
  <c r="AU43"/>
  <c r="AT42"/>
  <c r="AW45"/>
  <c r="AU44"/>
  <c r="AT43"/>
  <c r="AT45"/>
  <c r="AW43"/>
  <c r="AU42"/>
  <c r="AU77"/>
  <c r="AU76"/>
  <c r="AU75"/>
  <c r="AU74"/>
  <c r="AV77"/>
  <c r="AV76"/>
  <c r="AV75"/>
  <c r="AV74"/>
  <c r="AW76"/>
  <c r="AW74"/>
  <c r="AT77"/>
  <c r="AT75"/>
  <c r="AW77"/>
  <c r="AW75"/>
  <c r="AT76"/>
  <c r="AT74"/>
  <c r="AY170"/>
  <c r="AY173"/>
  <c r="AY171"/>
  <c r="AY172"/>
  <c r="AV53"/>
  <c r="AV52"/>
  <c r="AV51"/>
  <c r="AV50"/>
  <c r="AT53"/>
  <c r="AW51"/>
  <c r="AU50"/>
  <c r="AW53"/>
  <c r="AT51"/>
  <c r="AU53"/>
  <c r="AT52"/>
  <c r="AW50"/>
  <c r="AU52"/>
  <c r="AU51"/>
  <c r="AW52"/>
  <c r="AT50"/>
  <c r="AT154" a="1"/>
  <c r="AT138" a="1"/>
  <c r="AT146" a="1"/>
  <c r="AT162" a="1"/>
  <c r="AT58" a="1"/>
  <c r="AT98" a="1"/>
  <c r="AT82" a="1"/>
  <c r="AT34" a="1"/>
  <c r="AT178" a="1"/>
  <c r="B130" i="13"/>
  <c r="B128"/>
  <c r="B127"/>
  <c r="B126"/>
  <c r="B125"/>
  <c r="B124"/>
  <c r="B123"/>
  <c r="AT130" i="20" l="1" a="1"/>
  <c r="AW141"/>
  <c r="AW140"/>
  <c r="AW139"/>
  <c r="AV141"/>
  <c r="AV140"/>
  <c r="AV139"/>
  <c r="AV138"/>
  <c r="AT141"/>
  <c r="AT139"/>
  <c r="AU140"/>
  <c r="AW138"/>
  <c r="AU141"/>
  <c r="AT138"/>
  <c r="AU138"/>
  <c r="AU139"/>
  <c r="AT140"/>
  <c r="BA42" a="1"/>
  <c r="AU29"/>
  <c r="AU28"/>
  <c r="AU27"/>
  <c r="AU26"/>
  <c r="AW28"/>
  <c r="AV29"/>
  <c r="AV28"/>
  <c r="AV27"/>
  <c r="AV26"/>
  <c r="AW29"/>
  <c r="AW27"/>
  <c r="AW26"/>
  <c r="AT27"/>
  <c r="AT29"/>
  <c r="AT26"/>
  <c r="AT28"/>
  <c r="BA10" a="1"/>
  <c r="AT149"/>
  <c r="AT148"/>
  <c r="AT147"/>
  <c r="AT146"/>
  <c r="AV149"/>
  <c r="AU148"/>
  <c r="AW146"/>
  <c r="AU149"/>
  <c r="AW147"/>
  <c r="AV146"/>
  <c r="AW148"/>
  <c r="AU146"/>
  <c r="AV148"/>
  <c r="AW149"/>
  <c r="AU147"/>
  <c r="AV147"/>
  <c r="AV197"/>
  <c r="AV196"/>
  <c r="AV195"/>
  <c r="AV194"/>
  <c r="AU197"/>
  <c r="AU196"/>
  <c r="AU195"/>
  <c r="AU194"/>
  <c r="AT197"/>
  <c r="AT195"/>
  <c r="AW196"/>
  <c r="AW194"/>
  <c r="AW197"/>
  <c r="AT196"/>
  <c r="AW195"/>
  <c r="AT194"/>
  <c r="AU165"/>
  <c r="AU164"/>
  <c r="AU163"/>
  <c r="AU162"/>
  <c r="AT165"/>
  <c r="AT164"/>
  <c r="AT163"/>
  <c r="AT162"/>
  <c r="AV165"/>
  <c r="AV163"/>
  <c r="AW164"/>
  <c r="AW162"/>
  <c r="AW165"/>
  <c r="AV164"/>
  <c r="AV162"/>
  <c r="AW163"/>
  <c r="AV125"/>
  <c r="AV124"/>
  <c r="AV123"/>
  <c r="AV122"/>
  <c r="AT125"/>
  <c r="AW123"/>
  <c r="AU122"/>
  <c r="AW124"/>
  <c r="AU123"/>
  <c r="AT122"/>
  <c r="AU125"/>
  <c r="AW122"/>
  <c r="AW125"/>
  <c r="AT123"/>
  <c r="AT124"/>
  <c r="AU124"/>
  <c r="AV181"/>
  <c r="AV180"/>
  <c r="AV179"/>
  <c r="AV178"/>
  <c r="AU181"/>
  <c r="AU180"/>
  <c r="AU179"/>
  <c r="AU178"/>
  <c r="AW180"/>
  <c r="AW178"/>
  <c r="AT180"/>
  <c r="AT178"/>
  <c r="AW179"/>
  <c r="AT179"/>
  <c r="AW181"/>
  <c r="AT181"/>
  <c r="AU61"/>
  <c r="AU60"/>
  <c r="AU59"/>
  <c r="AU58"/>
  <c r="AV61"/>
  <c r="AV60"/>
  <c r="AV59"/>
  <c r="AV58"/>
  <c r="AW61"/>
  <c r="AW59"/>
  <c r="AT60"/>
  <c r="AT58"/>
  <c r="AW60"/>
  <c r="AW58"/>
  <c r="AT61"/>
  <c r="AT59"/>
  <c r="AT157"/>
  <c r="AT156"/>
  <c r="AT155"/>
  <c r="AT154"/>
  <c r="AV157"/>
  <c r="AU156"/>
  <c r="AW154"/>
  <c r="AU157"/>
  <c r="AW155"/>
  <c r="AV154"/>
  <c r="AW157"/>
  <c r="AU155"/>
  <c r="AW156"/>
  <c r="AU154"/>
  <c r="AV155"/>
  <c r="AV156"/>
  <c r="AU5"/>
  <c r="AU4"/>
  <c r="AU3"/>
  <c r="AU2"/>
  <c r="AW5"/>
  <c r="AW4"/>
  <c r="AW3"/>
  <c r="AW2"/>
  <c r="AV5"/>
  <c r="AV4"/>
  <c r="AV3"/>
  <c r="AV2"/>
  <c r="AT3"/>
  <c r="AT4"/>
  <c r="AT5"/>
  <c r="AT2"/>
  <c r="AU21"/>
  <c r="AU20"/>
  <c r="AU19"/>
  <c r="AU18"/>
  <c r="AV21"/>
  <c r="AV20"/>
  <c r="AV19"/>
  <c r="AV18"/>
  <c r="AW21"/>
  <c r="AW20"/>
  <c r="AW19"/>
  <c r="AW18"/>
  <c r="AT20"/>
  <c r="AT18"/>
  <c r="AT19"/>
  <c r="AT21"/>
  <c r="BA114" a="1"/>
  <c r="AU101"/>
  <c r="AU100"/>
  <c r="AU99"/>
  <c r="AU98"/>
  <c r="AT101"/>
  <c r="AT100"/>
  <c r="AT99"/>
  <c r="AT98"/>
  <c r="AW100"/>
  <c r="AW98"/>
  <c r="AW99"/>
  <c r="AV100"/>
  <c r="AV98"/>
  <c r="AV101"/>
  <c r="AW101"/>
  <c r="AV99"/>
  <c r="AV189"/>
  <c r="AV188"/>
  <c r="AV187"/>
  <c r="AV186"/>
  <c r="AU189"/>
  <c r="AU188"/>
  <c r="AU187"/>
  <c r="AU186"/>
  <c r="AT188"/>
  <c r="AT186"/>
  <c r="AW189"/>
  <c r="AW187"/>
  <c r="AT189"/>
  <c r="AW188"/>
  <c r="AW186"/>
  <c r="AT187"/>
  <c r="AV133"/>
  <c r="AV132"/>
  <c r="AV131"/>
  <c r="AV130"/>
  <c r="AW132"/>
  <c r="AU131"/>
  <c r="AT130"/>
  <c r="AW133"/>
  <c r="AU132"/>
  <c r="AT131"/>
  <c r="AT133"/>
  <c r="AU130"/>
  <c r="AU133"/>
  <c r="AW130"/>
  <c r="AW131"/>
  <c r="AT132"/>
  <c r="AT85"/>
  <c r="AT84"/>
  <c r="AT83"/>
  <c r="AT82"/>
  <c r="AW84"/>
  <c r="AV83"/>
  <c r="AU82"/>
  <c r="AU85"/>
  <c r="AW83"/>
  <c r="AV82"/>
  <c r="AV85"/>
  <c r="AW82"/>
  <c r="AU84"/>
  <c r="AV84"/>
  <c r="AW85"/>
  <c r="AU83"/>
  <c r="AU109"/>
  <c r="AU108"/>
  <c r="AU107"/>
  <c r="AU106"/>
  <c r="AT109"/>
  <c r="AT108"/>
  <c r="AT107"/>
  <c r="AT106"/>
  <c r="AV108"/>
  <c r="AV106"/>
  <c r="AW108"/>
  <c r="AV109"/>
  <c r="AW106"/>
  <c r="AW107"/>
  <c r="AV107"/>
  <c r="AW109"/>
  <c r="AU37"/>
  <c r="AU36"/>
  <c r="AU35"/>
  <c r="AU34"/>
  <c r="AW37"/>
  <c r="AW36"/>
  <c r="AW35"/>
  <c r="AW34"/>
  <c r="AV37"/>
  <c r="AV36"/>
  <c r="AV35"/>
  <c r="AV34"/>
  <c r="AT35"/>
  <c r="AT34"/>
  <c r="AT36"/>
  <c r="AT37"/>
  <c r="BA50" a="1"/>
  <c r="BA74" a="1"/>
  <c r="AU69"/>
  <c r="AU68"/>
  <c r="AU67"/>
  <c r="AU66"/>
  <c r="AV69"/>
  <c r="AV68"/>
  <c r="AV67"/>
  <c r="AV66"/>
  <c r="AT68"/>
  <c r="AT66"/>
  <c r="AT69"/>
  <c r="AT67"/>
  <c r="AW69"/>
  <c r="AW67"/>
  <c r="AW68"/>
  <c r="AW66"/>
  <c r="AT90" a="1"/>
  <c r="AT170" a="1"/>
  <c r="B122" i="13"/>
  <c r="B120"/>
  <c r="B119"/>
  <c r="B118"/>
  <c r="B117"/>
  <c r="B116"/>
  <c r="B115"/>
  <c r="BA114" i="20" l="1"/>
  <c r="BA116"/>
  <c r="BI114" s="1"/>
  <c r="BA115"/>
  <c r="BH114" s="1"/>
  <c r="BA117"/>
  <c r="BJ114" s="1"/>
  <c r="AU93"/>
  <c r="AU92"/>
  <c r="AU91"/>
  <c r="AU90"/>
  <c r="AT93"/>
  <c r="AT92"/>
  <c r="AT91"/>
  <c r="AT90"/>
  <c r="AV93"/>
  <c r="AV91"/>
  <c r="AW93"/>
  <c r="AW90"/>
  <c r="AW91"/>
  <c r="AW92"/>
  <c r="AV92"/>
  <c r="AV90"/>
  <c r="AU173"/>
  <c r="AU172"/>
  <c r="AU171"/>
  <c r="AU170"/>
  <c r="AT173"/>
  <c r="AT172"/>
  <c r="AT171"/>
  <c r="AT170"/>
  <c r="AV172"/>
  <c r="AV170"/>
  <c r="AW173"/>
  <c r="AW171"/>
  <c r="AW172"/>
  <c r="AV171"/>
  <c r="AV173"/>
  <c r="AW170"/>
  <c r="BA66" a="1"/>
  <c r="BA50"/>
  <c r="BA51"/>
  <c r="BH50" s="1"/>
  <c r="BA53"/>
  <c r="BJ50" s="1"/>
  <c r="BA52"/>
  <c r="BI50" s="1"/>
  <c r="BA34" a="1"/>
  <c r="BA186" a="1"/>
  <c r="BA2" a="1"/>
  <c r="BA154" a="1"/>
  <c r="BA58" a="1"/>
  <c r="BA178" a="1"/>
  <c r="BA162" a="1"/>
  <c r="BA194" a="1"/>
  <c r="BA146" a="1"/>
  <c r="BA77"/>
  <c r="BJ74" s="1"/>
  <c r="BA74"/>
  <c r="BA76"/>
  <c r="BI74" s="1"/>
  <c r="BA75"/>
  <c r="BH74" s="1"/>
  <c r="BA130" a="1"/>
  <c r="BA26" a="1"/>
  <c r="BA138" a="1"/>
  <c r="BA106" a="1"/>
  <c r="BA82" a="1"/>
  <c r="BA98" a="1"/>
  <c r="BA18" a="1"/>
  <c r="BA122" a="1"/>
  <c r="BA42"/>
  <c r="BA44"/>
  <c r="BI42" s="1"/>
  <c r="BA45"/>
  <c r="BJ42" s="1"/>
  <c r="BA43"/>
  <c r="BH42" s="1"/>
  <c r="BA13"/>
  <c r="BJ10" s="1"/>
  <c r="BA10"/>
  <c r="BA11"/>
  <c r="BH10" s="1"/>
  <c r="BA12"/>
  <c r="BI10" s="1"/>
  <c r="B114" i="13"/>
  <c r="B112"/>
  <c r="B111"/>
  <c r="B110"/>
  <c r="B109"/>
  <c r="B108"/>
  <c r="B107"/>
  <c r="BA139" i="20" l="1"/>
  <c r="BH138" s="1"/>
  <c r="BA138"/>
  <c r="BA141"/>
  <c r="BJ138" s="1"/>
  <c r="BA140"/>
  <c r="BI138" s="1"/>
  <c r="BA194"/>
  <c r="BA197"/>
  <c r="BJ194" s="1"/>
  <c r="BA196"/>
  <c r="BI194" s="1"/>
  <c r="BA195"/>
  <c r="BH194" s="1"/>
  <c r="BA178"/>
  <c r="BA181"/>
  <c r="BJ178" s="1"/>
  <c r="BA180"/>
  <c r="BI178" s="1"/>
  <c r="BA179"/>
  <c r="BH178" s="1"/>
  <c r="BA186"/>
  <c r="BA189"/>
  <c r="BJ186" s="1"/>
  <c r="BA188"/>
  <c r="BI186" s="1"/>
  <c r="BA187"/>
  <c r="BH186" s="1"/>
  <c r="BA61"/>
  <c r="BJ58" s="1"/>
  <c r="BA58"/>
  <c r="BA59"/>
  <c r="BH58" s="1"/>
  <c r="BA60"/>
  <c r="BI58" s="1"/>
  <c r="BA37"/>
  <c r="BJ34" s="1"/>
  <c r="BA35"/>
  <c r="BH34" s="1"/>
  <c r="BA34"/>
  <c r="BA36"/>
  <c r="BI34" s="1"/>
  <c r="BA122"/>
  <c r="BA123"/>
  <c r="BH122" s="1"/>
  <c r="BA124"/>
  <c r="BI122" s="1"/>
  <c r="BA125"/>
  <c r="BJ122" s="1"/>
  <c r="BA109"/>
  <c r="BJ106" s="1"/>
  <c r="BA108"/>
  <c r="BI106" s="1"/>
  <c r="BA106"/>
  <c r="BA107"/>
  <c r="BH106" s="1"/>
  <c r="BA148"/>
  <c r="BI146" s="1"/>
  <c r="BA149"/>
  <c r="BJ146" s="1"/>
  <c r="BA147"/>
  <c r="BH146" s="1"/>
  <c r="BA146"/>
  <c r="BG42"/>
  <c r="BD42"/>
  <c r="BE42" s="1"/>
  <c r="BD45"/>
  <c r="BE45" s="1"/>
  <c r="BD47"/>
  <c r="BE47" s="1"/>
  <c r="BD44"/>
  <c r="BE44" s="1"/>
  <c r="BD48"/>
  <c r="BE48" s="1"/>
  <c r="BD46"/>
  <c r="BE46" s="1"/>
  <c r="BD43"/>
  <c r="BE43" s="1"/>
  <c r="BA21"/>
  <c r="BJ18" s="1"/>
  <c r="BA18"/>
  <c r="BA19"/>
  <c r="BH18" s="1"/>
  <c r="BA20"/>
  <c r="BI18" s="1"/>
  <c r="BA69"/>
  <c r="BJ66" s="1"/>
  <c r="BA66"/>
  <c r="BA68"/>
  <c r="BI66" s="1"/>
  <c r="BA67"/>
  <c r="BH66" s="1"/>
  <c r="BG114"/>
  <c r="BD117"/>
  <c r="BE117" s="1"/>
  <c r="BD116"/>
  <c r="BE116" s="1"/>
  <c r="BD119"/>
  <c r="BE119" s="1"/>
  <c r="BD120"/>
  <c r="BE120" s="1"/>
  <c r="BD115"/>
  <c r="BE115" s="1"/>
  <c r="BD118"/>
  <c r="BE118" s="1"/>
  <c r="BD114"/>
  <c r="BE114" s="1"/>
  <c r="BG10"/>
  <c r="BD10"/>
  <c r="BE10" s="1"/>
  <c r="BD13"/>
  <c r="BE13" s="1"/>
  <c r="BD12"/>
  <c r="BE12" s="1"/>
  <c r="BD11"/>
  <c r="BE11" s="1"/>
  <c r="BD14"/>
  <c r="BE14" s="1"/>
  <c r="BD16"/>
  <c r="BE16" s="1"/>
  <c r="BD15"/>
  <c r="BE15" s="1"/>
  <c r="BA84"/>
  <c r="BI82" s="1"/>
  <c r="BA82"/>
  <c r="BA83"/>
  <c r="BH82" s="1"/>
  <c r="BA85"/>
  <c r="BJ82" s="1"/>
  <c r="BA130"/>
  <c r="BA133"/>
  <c r="BJ130" s="1"/>
  <c r="BA131"/>
  <c r="BH130" s="1"/>
  <c r="BA132"/>
  <c r="BI130" s="1"/>
  <c r="BG74"/>
  <c r="BD77"/>
  <c r="BE77" s="1"/>
  <c r="BD74"/>
  <c r="BE74" s="1"/>
  <c r="BD79"/>
  <c r="BE79" s="1"/>
  <c r="BD78"/>
  <c r="BE78" s="1"/>
  <c r="BD76"/>
  <c r="BE76" s="1"/>
  <c r="BD75"/>
  <c r="BE75" s="1"/>
  <c r="BD80"/>
  <c r="BE80" s="1"/>
  <c r="BA156"/>
  <c r="BI154" s="1"/>
  <c r="BA157"/>
  <c r="BJ154" s="1"/>
  <c r="BA155"/>
  <c r="BH154" s="1"/>
  <c r="BA154"/>
  <c r="BA101"/>
  <c r="BJ98" s="1"/>
  <c r="BA100"/>
  <c r="BI98" s="1"/>
  <c r="BA98"/>
  <c r="BA99"/>
  <c r="BH98" s="1"/>
  <c r="BA29"/>
  <c r="BJ26" s="1"/>
  <c r="BA26"/>
  <c r="BA27"/>
  <c r="BH26" s="1"/>
  <c r="BA28"/>
  <c r="BI26" s="1"/>
  <c r="BA165"/>
  <c r="BJ162" s="1"/>
  <c r="BA164"/>
  <c r="BI162" s="1"/>
  <c r="BA162"/>
  <c r="BA163"/>
  <c r="BH162" s="1"/>
  <c r="BA5"/>
  <c r="BJ2" s="1"/>
  <c r="BA3"/>
  <c r="BH2" s="1"/>
  <c r="BA2"/>
  <c r="BA4"/>
  <c r="BI2" s="1"/>
  <c r="BG50"/>
  <c r="BD56"/>
  <c r="BE56" s="1"/>
  <c r="BD52"/>
  <c r="BE52" s="1"/>
  <c r="BD51"/>
  <c r="BE51" s="1"/>
  <c r="BD55"/>
  <c r="BE55" s="1"/>
  <c r="BD50"/>
  <c r="BE50" s="1"/>
  <c r="BD53"/>
  <c r="BE53" s="1"/>
  <c r="BD54"/>
  <c r="BE54" s="1"/>
  <c r="BA170" a="1"/>
  <c r="BA90" a="1"/>
  <c r="B106" i="13"/>
  <c r="B104"/>
  <c r="B103"/>
  <c r="B102"/>
  <c r="B101"/>
  <c r="B100"/>
  <c r="B99"/>
  <c r="BL42" i="20"/>
  <c r="BK50"/>
  <c r="BQ50"/>
  <c r="BM74"/>
  <c r="BK42"/>
  <c r="BL114"/>
  <c r="BM50"/>
  <c r="BS42"/>
  <c r="BR114"/>
  <c r="BP50"/>
  <c r="BM42"/>
  <c r="BK114"/>
  <c r="BL10"/>
  <c r="BO42"/>
  <c r="BQ114"/>
  <c r="BT114"/>
  <c r="BO50"/>
  <c r="BL74"/>
  <c r="BM114"/>
  <c r="BK10"/>
  <c r="BL50"/>
  <c r="BT50" s="1"/>
  <c r="BS74"/>
  <c r="BR42"/>
  <c r="BS114"/>
  <c r="BO10"/>
  <c r="BS10"/>
  <c r="BS50"/>
  <c r="BK74"/>
  <c r="BP74" s="1"/>
  <c r="BM10"/>
  <c r="BQ74"/>
  <c r="BT42"/>
  <c r="BO114"/>
  <c r="BR10"/>
  <c r="BO74"/>
  <c r="BP114"/>
  <c r="BT10"/>
  <c r="BR50"/>
  <c r="BQ42"/>
  <c r="BP42"/>
  <c r="BT74"/>
  <c r="BR74"/>
  <c r="BQ10"/>
  <c r="BP10"/>
  <c r="B8" i="21" l="1"/>
  <c r="A8"/>
  <c r="B3"/>
  <c r="A3"/>
  <c r="B16"/>
  <c r="A16"/>
  <c r="B7"/>
  <c r="A7"/>
  <c r="B11"/>
  <c r="A11"/>
  <c r="BW51" i="20"/>
  <c r="BW50"/>
  <c r="BX52"/>
  <c r="BV50"/>
  <c r="BX51"/>
  <c r="BV52"/>
  <c r="BV51"/>
  <c r="BX50"/>
  <c r="BW11"/>
  <c r="BW10"/>
  <c r="BX12"/>
  <c r="BV10"/>
  <c r="BX10"/>
  <c r="BX11"/>
  <c r="BV12"/>
  <c r="BV11"/>
  <c r="BW114"/>
  <c r="BW115"/>
  <c r="BX115"/>
  <c r="BX116"/>
  <c r="BV115"/>
  <c r="BV116"/>
  <c r="BX114"/>
  <c r="BV114"/>
  <c r="BW42"/>
  <c r="BW43"/>
  <c r="BX43"/>
  <c r="BX44"/>
  <c r="BV43"/>
  <c r="BX42"/>
  <c r="BV42"/>
  <c r="BV44"/>
  <c r="BW75"/>
  <c r="BW74"/>
  <c r="BX76"/>
  <c r="BV74"/>
  <c r="BX75"/>
  <c r="BX74"/>
  <c r="BV76"/>
  <c r="BV75"/>
  <c r="BG122"/>
  <c r="BD125"/>
  <c r="BE125" s="1"/>
  <c r="BD122"/>
  <c r="BE122" s="1"/>
  <c r="BD128"/>
  <c r="BE128" s="1"/>
  <c r="BD124"/>
  <c r="BE124" s="1"/>
  <c r="BD123"/>
  <c r="BE123" s="1"/>
  <c r="BD126"/>
  <c r="BE126" s="1"/>
  <c r="BD127"/>
  <c r="BE127" s="1"/>
  <c r="BG186"/>
  <c r="BD189"/>
  <c r="BE189" s="1"/>
  <c r="BD187"/>
  <c r="BE187" s="1"/>
  <c r="BD186"/>
  <c r="BE186" s="1"/>
  <c r="BD190"/>
  <c r="BE190" s="1"/>
  <c r="BD192"/>
  <c r="BE192" s="1"/>
  <c r="BD188"/>
  <c r="BE188" s="1"/>
  <c r="BD191"/>
  <c r="BE191" s="1"/>
  <c r="BG178"/>
  <c r="BD182"/>
  <c r="BE182" s="1"/>
  <c r="BD178"/>
  <c r="BE178" s="1"/>
  <c r="BD184"/>
  <c r="BE184" s="1"/>
  <c r="BD179"/>
  <c r="BE179" s="1"/>
  <c r="BD183"/>
  <c r="BE183" s="1"/>
  <c r="BD181"/>
  <c r="BE181" s="1"/>
  <c r="BD180"/>
  <c r="BE180" s="1"/>
  <c r="BG194"/>
  <c r="BD196"/>
  <c r="BE196" s="1"/>
  <c r="BD195"/>
  <c r="BE195" s="1"/>
  <c r="BD197"/>
  <c r="BE197" s="1"/>
  <c r="BD194"/>
  <c r="BE194" s="1"/>
  <c r="BD200"/>
  <c r="BE200" s="1"/>
  <c r="BD199"/>
  <c r="BE199" s="1"/>
  <c r="BD198"/>
  <c r="BE198" s="1"/>
  <c r="BA173"/>
  <c r="BJ170" s="1"/>
  <c r="BA172"/>
  <c r="BI170" s="1"/>
  <c r="BA171"/>
  <c r="BH170" s="1"/>
  <c r="BA170"/>
  <c r="BG57"/>
  <c r="DC50" s="1"/>
  <c r="BF57"/>
  <c r="BG26"/>
  <c r="BD26"/>
  <c r="BE26" s="1"/>
  <c r="BD29"/>
  <c r="BE29" s="1"/>
  <c r="BD30"/>
  <c r="BE30" s="1"/>
  <c r="BD32"/>
  <c r="BE32" s="1"/>
  <c r="BD27"/>
  <c r="BE27" s="1"/>
  <c r="BD28"/>
  <c r="BE28" s="1"/>
  <c r="BD31"/>
  <c r="BE31" s="1"/>
  <c r="BG82"/>
  <c r="BD87"/>
  <c r="BE87" s="1"/>
  <c r="BD88"/>
  <c r="BE88" s="1"/>
  <c r="BD82"/>
  <c r="BE82" s="1"/>
  <c r="BD86"/>
  <c r="BE86" s="1"/>
  <c r="BD84"/>
  <c r="BE84" s="1"/>
  <c r="BD85"/>
  <c r="BE85" s="1"/>
  <c r="BD83"/>
  <c r="BE83" s="1"/>
  <c r="BG17"/>
  <c r="DC10" s="1"/>
  <c r="BF17"/>
  <c r="BG66"/>
  <c r="BD66"/>
  <c r="BE66" s="1"/>
  <c r="BD67"/>
  <c r="BE67" s="1"/>
  <c r="BD69"/>
  <c r="BE69" s="1"/>
  <c r="BD68"/>
  <c r="BE68" s="1"/>
  <c r="BD70"/>
  <c r="BE70" s="1"/>
  <c r="BD72"/>
  <c r="BE72" s="1"/>
  <c r="BD71"/>
  <c r="BE71" s="1"/>
  <c r="BG18"/>
  <c r="BD21"/>
  <c r="BE21" s="1"/>
  <c r="BD18"/>
  <c r="BE18" s="1"/>
  <c r="BD19"/>
  <c r="BE19" s="1"/>
  <c r="BD24"/>
  <c r="BE24" s="1"/>
  <c r="BD22"/>
  <c r="BE22" s="1"/>
  <c r="BD20"/>
  <c r="BE20" s="1"/>
  <c r="BD23"/>
  <c r="BE23" s="1"/>
  <c r="BF49"/>
  <c r="BG49"/>
  <c r="DC42" s="1"/>
  <c r="BG58"/>
  <c r="BD61"/>
  <c r="BE61" s="1"/>
  <c r="BD58"/>
  <c r="BE58" s="1"/>
  <c r="BD62"/>
  <c r="BE62" s="1"/>
  <c r="BD64"/>
  <c r="BE64" s="1"/>
  <c r="BD60"/>
  <c r="BE60" s="1"/>
  <c r="BD59"/>
  <c r="BE59" s="1"/>
  <c r="BD63"/>
  <c r="BE63" s="1"/>
  <c r="BG138"/>
  <c r="BD139"/>
  <c r="BE139" s="1"/>
  <c r="BD143"/>
  <c r="BE143" s="1"/>
  <c r="BD138"/>
  <c r="BE138" s="1"/>
  <c r="BD144"/>
  <c r="BE144" s="1"/>
  <c r="BD141"/>
  <c r="BE141" s="1"/>
  <c r="BD140"/>
  <c r="BE140" s="1"/>
  <c r="BD142"/>
  <c r="BE142" s="1"/>
  <c r="BA93"/>
  <c r="BJ90" s="1"/>
  <c r="BA92"/>
  <c r="BI90" s="1"/>
  <c r="BA90"/>
  <c r="BA91"/>
  <c r="BH90" s="1"/>
  <c r="BG2"/>
  <c r="BD2"/>
  <c r="BE2" s="1"/>
  <c r="BD4"/>
  <c r="BE4" s="1"/>
  <c r="BD5"/>
  <c r="BE5" s="1"/>
  <c r="BD6"/>
  <c r="BE6" s="1"/>
  <c r="BD8"/>
  <c r="BE8" s="1"/>
  <c r="BD3"/>
  <c r="BE3" s="1"/>
  <c r="BD7"/>
  <c r="BE7" s="1"/>
  <c r="BG162"/>
  <c r="BD168"/>
  <c r="BE168" s="1"/>
  <c r="BD166"/>
  <c r="BE166" s="1"/>
  <c r="BD167"/>
  <c r="BE167" s="1"/>
  <c r="BD163"/>
  <c r="BE163" s="1"/>
  <c r="BD164"/>
  <c r="BE164" s="1"/>
  <c r="BD165"/>
  <c r="BE165" s="1"/>
  <c r="BD162"/>
  <c r="BE162" s="1"/>
  <c r="BG98"/>
  <c r="BD104"/>
  <c r="BE104" s="1"/>
  <c r="BD103"/>
  <c r="BE103" s="1"/>
  <c r="BD98"/>
  <c r="BE98" s="1"/>
  <c r="BD100"/>
  <c r="BE100" s="1"/>
  <c r="BD101"/>
  <c r="BE101" s="1"/>
  <c r="BD102"/>
  <c r="BE102" s="1"/>
  <c r="BD99"/>
  <c r="BE99" s="1"/>
  <c r="BF81"/>
  <c r="BG81"/>
  <c r="DC74" s="1"/>
  <c r="BG106"/>
  <c r="BD109"/>
  <c r="BE109" s="1"/>
  <c r="BD106"/>
  <c r="BE106" s="1"/>
  <c r="BD112"/>
  <c r="BE112" s="1"/>
  <c r="BD108"/>
  <c r="BE108" s="1"/>
  <c r="BD110"/>
  <c r="BE110" s="1"/>
  <c r="BD107"/>
  <c r="BE107" s="1"/>
  <c r="BD111"/>
  <c r="BE111" s="1"/>
  <c r="BG34"/>
  <c r="BD36"/>
  <c r="BE36" s="1"/>
  <c r="BD34"/>
  <c r="BE34" s="1"/>
  <c r="BD37"/>
  <c r="BE37" s="1"/>
  <c r="BD35"/>
  <c r="BE35" s="1"/>
  <c r="BD38"/>
  <c r="BE38" s="1"/>
  <c r="BD40"/>
  <c r="BE40" s="1"/>
  <c r="BD39"/>
  <c r="BE39" s="1"/>
  <c r="BG130"/>
  <c r="BD130"/>
  <c r="BE130" s="1"/>
  <c r="BD133"/>
  <c r="BE133" s="1"/>
  <c r="BD131"/>
  <c r="BE131" s="1"/>
  <c r="BD134"/>
  <c r="BE134" s="1"/>
  <c r="BD132"/>
  <c r="BE132" s="1"/>
  <c r="BD136"/>
  <c r="BE136" s="1"/>
  <c r="BD135"/>
  <c r="BE135" s="1"/>
  <c r="BG154"/>
  <c r="BD159"/>
  <c r="BE159" s="1"/>
  <c r="BD160"/>
  <c r="BE160" s="1"/>
  <c r="BD157"/>
  <c r="BE157" s="1"/>
  <c r="BD154"/>
  <c r="BE154" s="1"/>
  <c r="BD155"/>
  <c r="BE155" s="1"/>
  <c r="BD156"/>
  <c r="BE156" s="1"/>
  <c r="BD158"/>
  <c r="BE158" s="1"/>
  <c r="BG121"/>
  <c r="DC114" s="1"/>
  <c r="BF121"/>
  <c r="BG146"/>
  <c r="BD149"/>
  <c r="BE149" s="1"/>
  <c r="BD151"/>
  <c r="BE151" s="1"/>
  <c r="BD152"/>
  <c r="BE152" s="1"/>
  <c r="BD146"/>
  <c r="BE146" s="1"/>
  <c r="BD147"/>
  <c r="BE147" s="1"/>
  <c r="BD150"/>
  <c r="BE150" s="1"/>
  <c r="BD148"/>
  <c r="BE148" s="1"/>
  <c r="B98" i="13"/>
  <c r="B96"/>
  <c r="B95"/>
  <c r="B94"/>
  <c r="B93"/>
  <c r="B92"/>
  <c r="B91"/>
  <c r="BM58" i="20"/>
  <c r="BK138"/>
  <c r="BL122"/>
  <c r="BM178"/>
  <c r="BK194"/>
  <c r="BL66"/>
  <c r="BK106"/>
  <c r="BK34"/>
  <c r="BL130"/>
  <c r="BM26"/>
  <c r="BK2"/>
  <c r="BL162"/>
  <c r="BK146"/>
  <c r="BP138"/>
  <c r="BT122"/>
  <c r="BP194"/>
  <c r="BS66"/>
  <c r="BO34"/>
  <c r="BS130"/>
  <c r="BO2"/>
  <c r="BS162"/>
  <c r="BL186"/>
  <c r="BR186" s="1"/>
  <c r="BL18"/>
  <c r="BR18" s="1"/>
  <c r="BK130"/>
  <c r="BL154"/>
  <c r="BT154" s="1"/>
  <c r="BM162"/>
  <c r="BQ138"/>
  <c r="BT186"/>
  <c r="BS18"/>
  <c r="BP34"/>
  <c r="BS154"/>
  <c r="BP2"/>
  <c r="BP146"/>
  <c r="BM82"/>
  <c r="BL58"/>
  <c r="BT58" s="1"/>
  <c r="BM122"/>
  <c r="BK186"/>
  <c r="BL178"/>
  <c r="BS178" s="1"/>
  <c r="BM66"/>
  <c r="BL106"/>
  <c r="BS106" s="1"/>
  <c r="BM130"/>
  <c r="BL26"/>
  <c r="BT26" s="1"/>
  <c r="BM98"/>
  <c r="BR58"/>
  <c r="BR122"/>
  <c r="BT18"/>
  <c r="BT106"/>
  <c r="BP130"/>
  <c r="BR154"/>
  <c r="BR26"/>
  <c r="BO146"/>
  <c r="BK82"/>
  <c r="BL138"/>
  <c r="BK178"/>
  <c r="BM18"/>
  <c r="BL34"/>
  <c r="BK26"/>
  <c r="BK98"/>
  <c r="BM146"/>
  <c r="BO138"/>
  <c r="BS122"/>
  <c r="BP178"/>
  <c r="BQ194"/>
  <c r="BT66"/>
  <c r="BO106"/>
  <c r="BQ34"/>
  <c r="BT130"/>
  <c r="BP26"/>
  <c r="BQ2"/>
  <c r="BR162"/>
  <c r="BQ146"/>
  <c r="BL82"/>
  <c r="BM138"/>
  <c r="BK122"/>
  <c r="BM194"/>
  <c r="BK66"/>
  <c r="BQ66" s="1"/>
  <c r="BM34"/>
  <c r="BM2"/>
  <c r="BL98"/>
  <c r="BT98" s="1"/>
  <c r="BQ122"/>
  <c r="BO194"/>
  <c r="BQ106"/>
  <c r="BQ130"/>
  <c r="BQ26"/>
  <c r="BS98"/>
  <c r="BK18"/>
  <c r="BM154"/>
  <c r="BK162"/>
  <c r="BL146"/>
  <c r="BR146" s="1"/>
  <c r="BO122"/>
  <c r="BS186"/>
  <c r="BR178"/>
  <c r="BP66"/>
  <c r="BR66"/>
  <c r="BP106"/>
  <c r="BT34"/>
  <c r="BR130"/>
  <c r="BO26"/>
  <c r="BT162"/>
  <c r="BR98"/>
  <c r="BT146"/>
  <c r="BK58"/>
  <c r="BM186"/>
  <c r="BL194"/>
  <c r="BM106"/>
  <c r="BK154"/>
  <c r="BL2"/>
  <c r="BP82"/>
  <c r="BS58"/>
  <c r="BP122"/>
  <c r="BQ186"/>
  <c r="BT178"/>
  <c r="BO66"/>
  <c r="BQ18"/>
  <c r="BR106"/>
  <c r="BO130"/>
  <c r="BP154"/>
  <c r="BS26"/>
  <c r="BO162"/>
  <c r="BQ98"/>
  <c r="BS146"/>
  <c r="BO186"/>
  <c r="BP186"/>
  <c r="BQ82"/>
  <c r="BO82"/>
  <c r="BT138"/>
  <c r="BR138"/>
  <c r="BS138"/>
  <c r="BO178"/>
  <c r="BQ178"/>
  <c r="BR34"/>
  <c r="BS34"/>
  <c r="BO98"/>
  <c r="BP98"/>
  <c r="BS82"/>
  <c r="BR82"/>
  <c r="BT82"/>
  <c r="BP18"/>
  <c r="BO18"/>
  <c r="BQ162"/>
  <c r="BP162"/>
  <c r="BO58"/>
  <c r="BQ58"/>
  <c r="BP58"/>
  <c r="BS194"/>
  <c r="BT194"/>
  <c r="BR194"/>
  <c r="BQ154"/>
  <c r="BO154"/>
  <c r="BT2"/>
  <c r="BR2"/>
  <c r="BS2"/>
  <c r="B20" i="21" l="1"/>
  <c r="A20"/>
  <c r="B14"/>
  <c r="A14"/>
  <c r="B22"/>
  <c r="A22"/>
  <c r="B2"/>
  <c r="A2"/>
  <c r="B5"/>
  <c r="A5"/>
  <c r="B21"/>
  <c r="A21"/>
  <c r="B18"/>
  <c r="A18"/>
  <c r="B6"/>
  <c r="A6"/>
  <c r="B15"/>
  <c r="A15"/>
  <c r="B4"/>
  <c r="A4"/>
  <c r="B10"/>
  <c r="A10"/>
  <c r="B26"/>
  <c r="A26"/>
  <c r="B24"/>
  <c r="A24"/>
  <c r="B25"/>
  <c r="A25"/>
  <c r="B17"/>
  <c r="A17"/>
  <c r="B19"/>
  <c r="A19"/>
  <c r="B9"/>
  <c r="A9"/>
  <c r="B12"/>
  <c r="A12"/>
  <c r="BW147" i="20"/>
  <c r="BW146"/>
  <c r="BV148"/>
  <c r="BV147"/>
  <c r="BV146"/>
  <c r="BX148"/>
  <c r="BX146"/>
  <c r="BX147"/>
  <c r="BW99"/>
  <c r="BW98"/>
  <c r="BX100"/>
  <c r="BV98"/>
  <c r="BV100"/>
  <c r="BV99"/>
  <c r="BX98"/>
  <c r="BX99"/>
  <c r="BW163"/>
  <c r="BW162"/>
  <c r="BX164"/>
  <c r="BV162"/>
  <c r="BV164"/>
  <c r="BV163"/>
  <c r="BX163"/>
  <c r="BX162"/>
  <c r="BW3"/>
  <c r="BW2"/>
  <c r="BX4"/>
  <c r="BV2"/>
  <c r="BX2"/>
  <c r="BX3"/>
  <c r="BV3"/>
  <c r="BV4"/>
  <c r="BW27"/>
  <c r="BW26"/>
  <c r="BX28"/>
  <c r="BV26"/>
  <c r="BX27"/>
  <c r="BX26"/>
  <c r="BV28"/>
  <c r="BV27"/>
  <c r="BW155"/>
  <c r="BW154"/>
  <c r="BX156"/>
  <c r="BV156"/>
  <c r="BV155"/>
  <c r="BV154"/>
  <c r="BX154"/>
  <c r="BX155"/>
  <c r="BW130"/>
  <c r="BW131"/>
  <c r="BX131"/>
  <c r="BX130"/>
  <c r="BV130"/>
  <c r="BX132"/>
  <c r="BV132"/>
  <c r="BV131"/>
  <c r="BW35"/>
  <c r="BW34"/>
  <c r="BX36"/>
  <c r="BV34"/>
  <c r="BX34"/>
  <c r="BX35"/>
  <c r="BV36"/>
  <c r="BV35"/>
  <c r="BW107"/>
  <c r="BW106"/>
  <c r="BX107"/>
  <c r="BV106"/>
  <c r="BX108"/>
  <c r="BV107"/>
  <c r="BX106"/>
  <c r="BV108"/>
  <c r="BW19"/>
  <c r="BW18"/>
  <c r="BX20"/>
  <c r="BV18"/>
  <c r="BX19"/>
  <c r="BX18"/>
  <c r="BV20"/>
  <c r="BV19"/>
  <c r="BW67"/>
  <c r="BW66"/>
  <c r="BX68"/>
  <c r="BV66"/>
  <c r="BX67"/>
  <c r="BV67"/>
  <c r="BX66"/>
  <c r="BV68"/>
  <c r="BW194"/>
  <c r="BW195"/>
  <c r="BX195"/>
  <c r="BX196"/>
  <c r="BV194"/>
  <c r="BV196"/>
  <c r="BX194"/>
  <c r="BV195"/>
  <c r="BW178"/>
  <c r="BW179"/>
  <c r="BX179"/>
  <c r="BX180"/>
  <c r="BV178"/>
  <c r="BX178"/>
  <c r="BV179"/>
  <c r="BV180"/>
  <c r="BW186"/>
  <c r="BW187"/>
  <c r="BX187"/>
  <c r="BX188"/>
  <c r="BV186"/>
  <c r="BV187"/>
  <c r="BX186"/>
  <c r="BV188"/>
  <c r="BW122"/>
  <c r="BW123"/>
  <c r="BX123"/>
  <c r="BV124"/>
  <c r="BX122"/>
  <c r="BX124"/>
  <c r="BV123"/>
  <c r="BV122"/>
  <c r="BW138"/>
  <c r="BW139"/>
  <c r="BV140"/>
  <c r="BX138"/>
  <c r="BX140"/>
  <c r="BX139"/>
  <c r="BV139"/>
  <c r="BV138"/>
  <c r="BW59"/>
  <c r="BW58"/>
  <c r="BX60"/>
  <c r="BV58"/>
  <c r="BX59"/>
  <c r="BV59"/>
  <c r="BX58"/>
  <c r="BV60"/>
  <c r="BW83"/>
  <c r="BW82"/>
  <c r="BX84"/>
  <c r="BV84"/>
  <c r="BV83"/>
  <c r="BX82"/>
  <c r="BV82"/>
  <c r="BX83"/>
  <c r="BF137"/>
  <c r="BG137"/>
  <c r="DC130" s="1"/>
  <c r="BG169"/>
  <c r="BF169"/>
  <c r="BG73"/>
  <c r="DC66" s="1"/>
  <c r="BF73"/>
  <c r="BG89"/>
  <c r="DC82" s="1"/>
  <c r="BF89"/>
  <c r="BF153"/>
  <c r="BG153"/>
  <c r="DC146" s="1"/>
  <c r="BG41"/>
  <c r="DC34" s="1"/>
  <c r="BF41"/>
  <c r="BF113"/>
  <c r="BG113"/>
  <c r="DC106" s="1"/>
  <c r="BG185"/>
  <c r="BF185"/>
  <c r="BG9"/>
  <c r="DC2" s="1"/>
  <c r="BF9"/>
  <c r="BG161"/>
  <c r="DC154" s="1"/>
  <c r="BF161"/>
  <c r="BG90"/>
  <c r="BD95"/>
  <c r="BE95" s="1"/>
  <c r="BD93"/>
  <c r="BE93" s="1"/>
  <c r="BD96"/>
  <c r="BE96" s="1"/>
  <c r="BD92"/>
  <c r="BE92" s="1"/>
  <c r="BD91"/>
  <c r="BE91" s="1"/>
  <c r="BD94"/>
  <c r="BE94" s="1"/>
  <c r="BD90"/>
  <c r="BE90" s="1"/>
  <c r="BG65"/>
  <c r="DC58" s="1"/>
  <c r="BF65"/>
  <c r="BG201"/>
  <c r="BF201"/>
  <c r="CA42" a="1"/>
  <c r="BG105"/>
  <c r="DC98" s="1"/>
  <c r="BF105"/>
  <c r="BF145"/>
  <c r="BG145"/>
  <c r="DC138" s="1"/>
  <c r="BG25"/>
  <c r="DC18" s="1"/>
  <c r="BF25"/>
  <c r="BG129"/>
  <c r="DC122" s="1"/>
  <c r="BF129"/>
  <c r="BG33"/>
  <c r="DC26" s="1"/>
  <c r="BF33"/>
  <c r="BG170"/>
  <c r="BD176"/>
  <c r="BE176" s="1"/>
  <c r="BD170"/>
  <c r="BE170" s="1"/>
  <c r="BD171"/>
  <c r="BE171" s="1"/>
  <c r="BD172"/>
  <c r="BE172" s="1"/>
  <c r="BD174"/>
  <c r="BE174" s="1"/>
  <c r="BD173"/>
  <c r="BE173" s="1"/>
  <c r="BD175"/>
  <c r="BE175" s="1"/>
  <c r="BG193"/>
  <c r="BF193"/>
  <c r="CA74" a="1"/>
  <c r="CA114" a="1"/>
  <c r="CA10" a="1"/>
  <c r="CA50" a="1"/>
  <c r="B90" i="13"/>
  <c r="B88"/>
  <c r="B87"/>
  <c r="B86"/>
  <c r="B85"/>
  <c r="B84"/>
  <c r="B83"/>
  <c r="BL170" i="20"/>
  <c r="BS170"/>
  <c r="BK170"/>
  <c r="BO170" s="1"/>
  <c r="BM90"/>
  <c r="BQ170"/>
  <c r="BM170"/>
  <c r="BL90"/>
  <c r="BR170"/>
  <c r="BK90"/>
  <c r="BP170"/>
  <c r="BT170"/>
  <c r="BS90"/>
  <c r="BR90"/>
  <c r="BT90"/>
  <c r="BP90"/>
  <c r="BO90"/>
  <c r="BQ90"/>
  <c r="CA186" l="1" a="1"/>
  <c r="CB186" s="1"/>
  <c r="B13" i="21"/>
  <c r="A13"/>
  <c r="B23"/>
  <c r="A23"/>
  <c r="CA178" i="20" a="1"/>
  <c r="CC180" s="1"/>
  <c r="CA194" a="1"/>
  <c r="CC196" s="1"/>
  <c r="CA130" a="1"/>
  <c r="CB130" s="1"/>
  <c r="CA146" a="1"/>
  <c r="CB148" s="1"/>
  <c r="BW91"/>
  <c r="BW90"/>
  <c r="BX92"/>
  <c r="BV90"/>
  <c r="BV92"/>
  <c r="BV91"/>
  <c r="BX91"/>
  <c r="BX90"/>
  <c r="BW171"/>
  <c r="BW170"/>
  <c r="BX171"/>
  <c r="BX172"/>
  <c r="BV170"/>
  <c r="BV172"/>
  <c r="BV171"/>
  <c r="BX170"/>
  <c r="CB179"/>
  <c r="CC12"/>
  <c r="CB11"/>
  <c r="CA10"/>
  <c r="CA12"/>
  <c r="CC10"/>
  <c r="CC11"/>
  <c r="CB10"/>
  <c r="CB12"/>
  <c r="CA11"/>
  <c r="CC188"/>
  <c r="CC195"/>
  <c r="CB194"/>
  <c r="CB195"/>
  <c r="CA194"/>
  <c r="CB196"/>
  <c r="CC194"/>
  <c r="CA195"/>
  <c r="CC132"/>
  <c r="CA130"/>
  <c r="CC52"/>
  <c r="CB51"/>
  <c r="CA50"/>
  <c r="CC51"/>
  <c r="CB50"/>
  <c r="CB52"/>
  <c r="CC50"/>
  <c r="CA51"/>
  <c r="CA52"/>
  <c r="BG177"/>
  <c r="BF177"/>
  <c r="CC76"/>
  <c r="CB75"/>
  <c r="CA74"/>
  <c r="CC75"/>
  <c r="CB74"/>
  <c r="CA76"/>
  <c r="CB76"/>
  <c r="CC74"/>
  <c r="CA75"/>
  <c r="CC43"/>
  <c r="CB42"/>
  <c r="CA44"/>
  <c r="CA42"/>
  <c r="CC44"/>
  <c r="CB44"/>
  <c r="CC42"/>
  <c r="CA43"/>
  <c r="CB43"/>
  <c r="CC115"/>
  <c r="CB114"/>
  <c r="CA116"/>
  <c r="CA114"/>
  <c r="CB115"/>
  <c r="CC114"/>
  <c r="CA115"/>
  <c r="CB116"/>
  <c r="CC116"/>
  <c r="BG97"/>
  <c r="DC90" s="1"/>
  <c r="BF97"/>
  <c r="CA154" a="1"/>
  <c r="CA82" a="1"/>
  <c r="CA58" a="1"/>
  <c r="CA138" a="1"/>
  <c r="CA122" a="1"/>
  <c r="CA66" a="1"/>
  <c r="CA18" a="1"/>
  <c r="CA106" a="1"/>
  <c r="CA34" a="1"/>
  <c r="CA26" a="1"/>
  <c r="CA2" a="1"/>
  <c r="CA162" a="1"/>
  <c r="CA98" a="1"/>
  <c r="B82" i="13"/>
  <c r="B80"/>
  <c r="B79"/>
  <c r="B78"/>
  <c r="B77"/>
  <c r="B76"/>
  <c r="B75"/>
  <c r="CA148" i="20" l="1"/>
  <c r="CB187"/>
  <c r="CA146"/>
  <c r="CC186"/>
  <c r="CB180"/>
  <c r="CB188"/>
  <c r="CB131"/>
  <c r="CA131"/>
  <c r="CC148"/>
  <c r="CA132"/>
  <c r="CB132"/>
  <c r="CC131"/>
  <c r="CA188"/>
  <c r="CK186" s="1" a="1"/>
  <c r="CA186"/>
  <c r="CC187"/>
  <c r="CA147"/>
  <c r="CC130"/>
  <c r="CA187"/>
  <c r="CA179"/>
  <c r="CC146"/>
  <c r="CB146"/>
  <c r="CC178"/>
  <c r="CA178"/>
  <c r="CC179"/>
  <c r="CB147"/>
  <c r="CC147"/>
  <c r="CA196"/>
  <c r="CP194" s="1" a="1"/>
  <c r="CA180"/>
  <c r="CB178"/>
  <c r="CA170" a="1"/>
  <c r="CB171" s="1"/>
  <c r="CC100"/>
  <c r="CB99"/>
  <c r="CA98"/>
  <c r="CB100"/>
  <c r="CA99"/>
  <c r="CA100"/>
  <c r="CC99"/>
  <c r="CB98"/>
  <c r="CC98"/>
  <c r="CC123"/>
  <c r="CB122"/>
  <c r="CB123"/>
  <c r="CC124"/>
  <c r="CA123"/>
  <c r="CA122"/>
  <c r="CC122"/>
  <c r="CA124"/>
  <c r="CB124"/>
  <c r="CB156"/>
  <c r="CA155"/>
  <c r="CA156"/>
  <c r="CB154"/>
  <c r="CC155"/>
  <c r="CA154"/>
  <c r="CC154"/>
  <c r="CB155"/>
  <c r="CC156"/>
  <c r="CE114" a="1"/>
  <c r="CP114" a="1"/>
  <c r="CK114" a="1"/>
  <c r="CP130" a="1"/>
  <c r="CC28"/>
  <c r="CB27"/>
  <c r="CA26"/>
  <c r="CC27"/>
  <c r="CB26"/>
  <c r="CA28"/>
  <c r="CC26"/>
  <c r="CB28"/>
  <c r="CA27"/>
  <c r="CC68"/>
  <c r="CB67"/>
  <c r="CA66"/>
  <c r="CC67"/>
  <c r="CB66"/>
  <c r="CA67"/>
  <c r="CC66"/>
  <c r="CA68"/>
  <c r="CB68"/>
  <c r="CE74" a="1"/>
  <c r="CP74" a="1"/>
  <c r="CK74" a="1"/>
  <c r="CK194" a="1"/>
  <c r="CE10" a="1"/>
  <c r="CP10" a="1"/>
  <c r="CK10" a="1"/>
  <c r="CC4"/>
  <c r="CB3"/>
  <c r="CA2"/>
  <c r="CA4"/>
  <c r="CC2"/>
  <c r="CC3"/>
  <c r="CB2"/>
  <c r="CB4"/>
  <c r="CA3"/>
  <c r="CC20"/>
  <c r="CB19"/>
  <c r="CA18"/>
  <c r="CC19"/>
  <c r="CB18"/>
  <c r="CA20"/>
  <c r="CC18"/>
  <c r="CA19"/>
  <c r="CB20"/>
  <c r="CC60"/>
  <c r="CB59"/>
  <c r="CA58"/>
  <c r="CC59"/>
  <c r="CB58"/>
  <c r="CC58"/>
  <c r="CA59"/>
  <c r="CA60"/>
  <c r="CB60"/>
  <c r="CE50" a="1"/>
  <c r="CP50" a="1"/>
  <c r="CK50" a="1"/>
  <c r="CC36"/>
  <c r="CB35"/>
  <c r="CA34"/>
  <c r="CA36"/>
  <c r="CC34"/>
  <c r="CC35"/>
  <c r="CB34"/>
  <c r="CB36"/>
  <c r="CA35"/>
  <c r="CB84"/>
  <c r="CA83"/>
  <c r="CB83"/>
  <c r="CC83"/>
  <c r="CA82"/>
  <c r="CB82"/>
  <c r="CA84"/>
  <c r="CC82"/>
  <c r="CC84"/>
  <c r="CC164"/>
  <c r="CB163"/>
  <c r="CA162"/>
  <c r="CB164"/>
  <c r="CA163"/>
  <c r="CB162"/>
  <c r="CA164"/>
  <c r="CC162"/>
  <c r="CC163"/>
  <c r="CC108"/>
  <c r="CB107"/>
  <c r="CA106"/>
  <c r="CB108"/>
  <c r="CA107"/>
  <c r="CC107"/>
  <c r="CB106"/>
  <c r="CA108"/>
  <c r="CC106"/>
  <c r="CA140"/>
  <c r="CC138"/>
  <c r="CC139"/>
  <c r="CB138"/>
  <c r="CB140"/>
  <c r="CB139"/>
  <c r="CA138"/>
  <c r="CA139"/>
  <c r="CC140"/>
  <c r="CE42" a="1"/>
  <c r="CP42" a="1"/>
  <c r="CK42" a="1"/>
  <c r="CA90" a="1"/>
  <c r="B74" i="13"/>
  <c r="B72"/>
  <c r="B71"/>
  <c r="B70"/>
  <c r="B69"/>
  <c r="B68"/>
  <c r="B67"/>
  <c r="CK178" i="20" l="1" a="1"/>
  <c r="CN178" s="1"/>
  <c r="CP186" a="1"/>
  <c r="CR186" s="1"/>
  <c r="CK130" a="1"/>
  <c r="CA170"/>
  <c r="CP146" a="1"/>
  <c r="CP149" s="1"/>
  <c r="CE130" a="1"/>
  <c r="CE131" s="1"/>
  <c r="CE194" a="1"/>
  <c r="CE196" s="1"/>
  <c r="CE178" a="1"/>
  <c r="CE179" s="1"/>
  <c r="CP178" a="1"/>
  <c r="CR180" s="1"/>
  <c r="CE186" a="1"/>
  <c r="CE186" s="1"/>
  <c r="CK146" a="1"/>
  <c r="CL147" s="1"/>
  <c r="CB172"/>
  <c r="CE146" a="1"/>
  <c r="CE148" s="1"/>
  <c r="CA171"/>
  <c r="CA172"/>
  <c r="CC170"/>
  <c r="CB170"/>
  <c r="CC172"/>
  <c r="CC171"/>
  <c r="CC92"/>
  <c r="CB91"/>
  <c r="CA90"/>
  <c r="CB92"/>
  <c r="CA91"/>
  <c r="CB90"/>
  <c r="CC90"/>
  <c r="CC91"/>
  <c r="CA92"/>
  <c r="CN197"/>
  <c r="CN196"/>
  <c r="CN195"/>
  <c r="CN194"/>
  <c r="CM197"/>
  <c r="CM196"/>
  <c r="CM195"/>
  <c r="CM194"/>
  <c r="CL197"/>
  <c r="CL195"/>
  <c r="CK197"/>
  <c r="CK195"/>
  <c r="CK194"/>
  <c r="CL196"/>
  <c r="CK196"/>
  <c r="CL194"/>
  <c r="CQ77"/>
  <c r="CQ76"/>
  <c r="CQ75"/>
  <c r="CQ74"/>
  <c r="CR77"/>
  <c r="CR76"/>
  <c r="CR75"/>
  <c r="CR74"/>
  <c r="CS76"/>
  <c r="CS74"/>
  <c r="CS77"/>
  <c r="CS75"/>
  <c r="CP77"/>
  <c r="CP75"/>
  <c r="CP76"/>
  <c r="CP74"/>
  <c r="CE66" a="1"/>
  <c r="CP66" a="1"/>
  <c r="CK66" a="1"/>
  <c r="CN117"/>
  <c r="CN116"/>
  <c r="CN115"/>
  <c r="CN114"/>
  <c r="CM117"/>
  <c r="CL116"/>
  <c r="CK115"/>
  <c r="CL117"/>
  <c r="CK116"/>
  <c r="CM114"/>
  <c r="CL115"/>
  <c r="CM116"/>
  <c r="CK117"/>
  <c r="CK114"/>
  <c r="CM115"/>
  <c r="CL114"/>
  <c r="CE43"/>
  <c r="CE44"/>
  <c r="CE42"/>
  <c r="CP106" a="1"/>
  <c r="CE106" a="1"/>
  <c r="CK106" a="1"/>
  <c r="CE34" a="1"/>
  <c r="CP34" a="1"/>
  <c r="CK34" a="1"/>
  <c r="CM77"/>
  <c r="CM76"/>
  <c r="CM75"/>
  <c r="CM74"/>
  <c r="CN77"/>
  <c r="CN76"/>
  <c r="CN75"/>
  <c r="CN74"/>
  <c r="CK77"/>
  <c r="CK75"/>
  <c r="CL76"/>
  <c r="CL77"/>
  <c r="CL75"/>
  <c r="CK76"/>
  <c r="CK74"/>
  <c r="CL74"/>
  <c r="CN45"/>
  <c r="CN44"/>
  <c r="CN43"/>
  <c r="CN42"/>
  <c r="CM45"/>
  <c r="CL44"/>
  <c r="CK43"/>
  <c r="CL42"/>
  <c r="CM44"/>
  <c r="CL43"/>
  <c r="CK42"/>
  <c r="CK45"/>
  <c r="CM43"/>
  <c r="CL45"/>
  <c r="CK44"/>
  <c r="CM42"/>
  <c r="CE52"/>
  <c r="CE51"/>
  <c r="CE50"/>
  <c r="CP18" a="1"/>
  <c r="CE18" a="1"/>
  <c r="CK18" a="1"/>
  <c r="CM13"/>
  <c r="CM12"/>
  <c r="CM11"/>
  <c r="CM10"/>
  <c r="CK13"/>
  <c r="CK12"/>
  <c r="CK11"/>
  <c r="CK10"/>
  <c r="CN13"/>
  <c r="CN12"/>
  <c r="CN11"/>
  <c r="CN10"/>
  <c r="CL11"/>
  <c r="CL12"/>
  <c r="CL10"/>
  <c r="CL13"/>
  <c r="CR197"/>
  <c r="CR196"/>
  <c r="CR195"/>
  <c r="CR194"/>
  <c r="CQ197"/>
  <c r="CQ196"/>
  <c r="CQ195"/>
  <c r="CQ194"/>
  <c r="CP197"/>
  <c r="CP195"/>
  <c r="CS196"/>
  <c r="CS194"/>
  <c r="CS197"/>
  <c r="CP196"/>
  <c r="CS195"/>
  <c r="CP194"/>
  <c r="CE76"/>
  <c r="CE75"/>
  <c r="CE74"/>
  <c r="CP26" a="1"/>
  <c r="CE26" a="1"/>
  <c r="CK26" a="1"/>
  <c r="CR181"/>
  <c r="CQ179"/>
  <c r="CP178"/>
  <c r="CE188"/>
  <c r="CE187"/>
  <c r="CL146"/>
  <c r="CM149"/>
  <c r="CM146"/>
  <c r="CN147"/>
  <c r="CR117"/>
  <c r="CR116"/>
  <c r="CR115"/>
  <c r="CR114"/>
  <c r="CQ117"/>
  <c r="CP116"/>
  <c r="CS114"/>
  <c r="CP117"/>
  <c r="CS115"/>
  <c r="CQ114"/>
  <c r="CQ116"/>
  <c r="CQ115"/>
  <c r="CS116"/>
  <c r="CP114"/>
  <c r="CP115"/>
  <c r="CS117"/>
  <c r="CE162" a="1"/>
  <c r="CP162" a="1"/>
  <c r="CK162" a="1"/>
  <c r="CP82" a="1"/>
  <c r="CE82" a="1"/>
  <c r="CK82" a="1"/>
  <c r="CQ53"/>
  <c r="CQ52"/>
  <c r="CQ51"/>
  <c r="CQ50"/>
  <c r="CR53"/>
  <c r="CR52"/>
  <c r="CR51"/>
  <c r="CR50"/>
  <c r="CP53"/>
  <c r="CP51"/>
  <c r="CP52"/>
  <c r="CP50"/>
  <c r="CS53"/>
  <c r="CS51"/>
  <c r="CS52"/>
  <c r="CS50"/>
  <c r="CE58" a="1"/>
  <c r="CP58" a="1"/>
  <c r="CK58" a="1"/>
  <c r="CN181"/>
  <c r="CM181"/>
  <c r="CK181"/>
  <c r="CK180"/>
  <c r="CR189"/>
  <c r="CR188"/>
  <c r="CQ189"/>
  <c r="CQ188"/>
  <c r="CP188"/>
  <c r="CP186"/>
  <c r="CP189"/>
  <c r="CS188"/>
  <c r="CE132"/>
  <c r="CE130"/>
  <c r="CM53"/>
  <c r="CM52"/>
  <c r="CM51"/>
  <c r="CM50"/>
  <c r="CN53"/>
  <c r="CN52"/>
  <c r="CN51"/>
  <c r="CN50"/>
  <c r="CL53"/>
  <c r="CL51"/>
  <c r="CL50"/>
  <c r="CK52"/>
  <c r="CK50"/>
  <c r="CL52"/>
  <c r="CK53"/>
  <c r="CK51"/>
  <c r="CE12"/>
  <c r="CE10"/>
  <c r="CE11"/>
  <c r="CN189"/>
  <c r="CN188"/>
  <c r="CN187"/>
  <c r="CN186"/>
  <c r="CM189"/>
  <c r="CM188"/>
  <c r="CM187"/>
  <c r="CM186"/>
  <c r="CL188"/>
  <c r="CL186"/>
  <c r="CK188"/>
  <c r="CK186"/>
  <c r="CL189"/>
  <c r="CK189"/>
  <c r="CK187"/>
  <c r="CL187"/>
  <c r="CR133"/>
  <c r="CR132"/>
  <c r="CR131"/>
  <c r="CR130"/>
  <c r="CS132"/>
  <c r="CQ131"/>
  <c r="CP130"/>
  <c r="CS133"/>
  <c r="CQ132"/>
  <c r="CP131"/>
  <c r="CS131"/>
  <c r="CP132"/>
  <c r="CS130"/>
  <c r="CP133"/>
  <c r="CQ130"/>
  <c r="CQ133"/>
  <c r="CE146"/>
  <c r="CE122" a="1"/>
  <c r="CP122" a="1"/>
  <c r="CK122" a="1"/>
  <c r="CE98" a="1"/>
  <c r="CP98" a="1"/>
  <c r="CK98" a="1"/>
  <c r="CR45"/>
  <c r="CR44"/>
  <c r="CR43"/>
  <c r="CR42"/>
  <c r="CQ45"/>
  <c r="CP44"/>
  <c r="CS42"/>
  <c r="CP42"/>
  <c r="CS45"/>
  <c r="CQ44"/>
  <c r="CP43"/>
  <c r="CS44"/>
  <c r="CQ43"/>
  <c r="CP45"/>
  <c r="CQ42"/>
  <c r="CS43"/>
  <c r="CP138" a="1"/>
  <c r="CE138" a="1"/>
  <c r="CK138" a="1"/>
  <c r="CE2" a="1"/>
  <c r="CP2" a="1"/>
  <c r="CK2" a="1"/>
  <c r="CQ13"/>
  <c r="CQ12"/>
  <c r="CQ11"/>
  <c r="CQ10"/>
  <c r="CR13"/>
  <c r="CR12"/>
  <c r="CR11"/>
  <c r="CR10"/>
  <c r="CS13"/>
  <c r="CS12"/>
  <c r="CS11"/>
  <c r="CS10"/>
  <c r="CP11"/>
  <c r="CP12"/>
  <c r="CP10"/>
  <c r="CP13"/>
  <c r="CE195"/>
  <c r="CE178"/>
  <c r="CN133"/>
  <c r="CN132"/>
  <c r="CN131"/>
  <c r="CN130"/>
  <c r="CK133"/>
  <c r="CM131"/>
  <c r="CL130"/>
  <c r="CM132"/>
  <c r="CL131"/>
  <c r="CK130"/>
  <c r="CL133"/>
  <c r="CM130"/>
  <c r="CM133"/>
  <c r="CK131"/>
  <c r="CK132"/>
  <c r="CL132"/>
  <c r="CP148"/>
  <c r="CQ148"/>
  <c r="CR146"/>
  <c r="CQ146"/>
  <c r="CE115"/>
  <c r="CE114"/>
  <c r="CE116"/>
  <c r="CP154" a="1"/>
  <c r="CE154" a="1"/>
  <c r="CK154" a="1"/>
  <c r="B66" i="13"/>
  <c r="B64"/>
  <c r="B63"/>
  <c r="B62"/>
  <c r="B61"/>
  <c r="B60"/>
  <c r="B59"/>
  <c r="CR148" i="20" l="1"/>
  <c r="CR147"/>
  <c r="CS146"/>
  <c r="CP147"/>
  <c r="CS179"/>
  <c r="CQ178"/>
  <c r="CR179"/>
  <c r="CS148"/>
  <c r="CS149"/>
  <c r="CQ149"/>
  <c r="CP146"/>
  <c r="CE147"/>
  <c r="CP187"/>
  <c r="CS189"/>
  <c r="CQ187"/>
  <c r="CR187"/>
  <c r="CL181"/>
  <c r="CL180"/>
  <c r="CM179"/>
  <c r="CN179"/>
  <c r="CP181"/>
  <c r="CS180"/>
  <c r="CR178"/>
  <c r="CL179"/>
  <c r="CK179"/>
  <c r="CM180"/>
  <c r="CN180"/>
  <c r="CQ147"/>
  <c r="CS147"/>
  <c r="CR149"/>
  <c r="CS186"/>
  <c r="CS187"/>
  <c r="CQ186"/>
  <c r="CU186" s="1" a="1"/>
  <c r="CK178"/>
  <c r="CL178"/>
  <c r="CM178"/>
  <c r="CS181"/>
  <c r="CP180"/>
  <c r="CQ181"/>
  <c r="CN148"/>
  <c r="CK148"/>
  <c r="CN149"/>
  <c r="CL149"/>
  <c r="CN146"/>
  <c r="CM148"/>
  <c r="CL148"/>
  <c r="CE194"/>
  <c r="CE170" a="1"/>
  <c r="CE172" s="1"/>
  <c r="CE180"/>
  <c r="CG178" s="1" a="1"/>
  <c r="CK146"/>
  <c r="CM147"/>
  <c r="CK149"/>
  <c r="CK147"/>
  <c r="CP179"/>
  <c r="CS178"/>
  <c r="CQ180"/>
  <c r="CP170" a="1"/>
  <c r="CR173" s="1"/>
  <c r="CK170" a="1"/>
  <c r="CM173" s="1"/>
  <c r="CG130" a="1"/>
  <c r="CI130" s="1"/>
  <c r="CQ101"/>
  <c r="CQ100"/>
  <c r="CQ99"/>
  <c r="CQ98"/>
  <c r="CP101"/>
  <c r="CP100"/>
  <c r="CP99"/>
  <c r="CP98"/>
  <c r="CS100"/>
  <c r="CS98"/>
  <c r="CR101"/>
  <c r="CR98"/>
  <c r="CS101"/>
  <c r="CR99"/>
  <c r="CS99"/>
  <c r="CR100"/>
  <c r="CH130"/>
  <c r="CE60"/>
  <c r="CE58"/>
  <c r="CE59"/>
  <c r="CQ29"/>
  <c r="CQ28"/>
  <c r="CQ27"/>
  <c r="CQ26"/>
  <c r="CS29"/>
  <c r="CS28"/>
  <c r="CS27"/>
  <c r="CS26"/>
  <c r="CR29"/>
  <c r="CR28"/>
  <c r="CR27"/>
  <c r="CR26"/>
  <c r="CP27"/>
  <c r="CP26"/>
  <c r="CP28"/>
  <c r="CP29"/>
  <c r="CN109"/>
  <c r="CN108"/>
  <c r="CN107"/>
  <c r="CN106"/>
  <c r="CM108"/>
  <c r="CL107"/>
  <c r="CK106"/>
  <c r="CM109"/>
  <c r="CL108"/>
  <c r="CK107"/>
  <c r="CM107"/>
  <c r="CM106"/>
  <c r="CK108"/>
  <c r="CL109"/>
  <c r="CK109"/>
  <c r="CL106"/>
  <c r="CE68"/>
  <c r="CE67"/>
  <c r="CE66"/>
  <c r="CE4"/>
  <c r="CE2"/>
  <c r="CE3"/>
  <c r="CR125"/>
  <c r="CR124"/>
  <c r="CR123"/>
  <c r="CR122"/>
  <c r="CP125"/>
  <c r="CS123"/>
  <c r="CQ122"/>
  <c r="CS124"/>
  <c r="CQ123"/>
  <c r="CP122"/>
  <c r="CP124"/>
  <c r="CQ124"/>
  <c r="CP123"/>
  <c r="CQ125"/>
  <c r="CS125"/>
  <c r="CS122"/>
  <c r="CQ61"/>
  <c r="CQ60"/>
  <c r="CQ59"/>
  <c r="CQ58"/>
  <c r="CR61"/>
  <c r="CR60"/>
  <c r="CR59"/>
  <c r="CR58"/>
  <c r="CS61"/>
  <c r="CS59"/>
  <c r="CP60"/>
  <c r="CP58"/>
  <c r="CS60"/>
  <c r="CS58"/>
  <c r="CP59"/>
  <c r="CP61"/>
  <c r="CE28"/>
  <c r="CE26"/>
  <c r="CE27"/>
  <c r="CE36"/>
  <c r="CE34"/>
  <c r="CE35"/>
  <c r="CE155"/>
  <c r="CE156"/>
  <c r="CE154"/>
  <c r="CN125"/>
  <c r="CN124"/>
  <c r="CN123"/>
  <c r="CN122"/>
  <c r="CL125"/>
  <c r="CK124"/>
  <c r="CM122"/>
  <c r="CK125"/>
  <c r="CM123"/>
  <c r="CL122"/>
  <c r="CM125"/>
  <c r="CK123"/>
  <c r="CL123"/>
  <c r="CK122"/>
  <c r="CL124"/>
  <c r="CM124"/>
  <c r="CM157"/>
  <c r="CM156"/>
  <c r="CM155"/>
  <c r="CM154"/>
  <c r="CL157"/>
  <c r="CL156"/>
  <c r="CL155"/>
  <c r="CL154"/>
  <c r="CK156"/>
  <c r="CK154"/>
  <c r="CN157"/>
  <c r="CN155"/>
  <c r="CN156"/>
  <c r="CK155"/>
  <c r="CK157"/>
  <c r="CN154"/>
  <c r="CM5"/>
  <c r="CM4"/>
  <c r="CM3"/>
  <c r="CM2"/>
  <c r="CK5"/>
  <c r="CK4"/>
  <c r="CK3"/>
  <c r="CK2"/>
  <c r="CN5"/>
  <c r="CN4"/>
  <c r="CN3"/>
  <c r="CN2"/>
  <c r="CL4"/>
  <c r="CL2"/>
  <c r="CL3"/>
  <c r="CL5"/>
  <c r="CE138"/>
  <c r="CE140"/>
  <c r="CE139"/>
  <c r="CE100"/>
  <c r="CE99"/>
  <c r="CE98"/>
  <c r="CL85"/>
  <c r="CL84"/>
  <c r="CL83"/>
  <c r="CL82"/>
  <c r="CK85"/>
  <c r="CN83"/>
  <c r="CM82"/>
  <c r="CM84"/>
  <c r="CN82"/>
  <c r="CN84"/>
  <c r="CK83"/>
  <c r="CM83"/>
  <c r="CK84"/>
  <c r="CM85"/>
  <c r="CN85"/>
  <c r="CK82"/>
  <c r="CQ165"/>
  <c r="CQ164"/>
  <c r="CQ163"/>
  <c r="CQ162"/>
  <c r="CP165"/>
  <c r="CP164"/>
  <c r="CP163"/>
  <c r="CP162"/>
  <c r="CR165"/>
  <c r="CR163"/>
  <c r="CS164"/>
  <c r="CS162"/>
  <c r="CS165"/>
  <c r="CR164"/>
  <c r="CS163"/>
  <c r="CR162"/>
  <c r="CE20"/>
  <c r="CE18"/>
  <c r="CE19"/>
  <c r="CM37"/>
  <c r="CM36"/>
  <c r="CM35"/>
  <c r="CM34"/>
  <c r="CK37"/>
  <c r="CK36"/>
  <c r="CK35"/>
  <c r="CK34"/>
  <c r="CN37"/>
  <c r="CN36"/>
  <c r="CN35"/>
  <c r="CN34"/>
  <c r="CL35"/>
  <c r="CL34"/>
  <c r="CL36"/>
  <c r="CL37"/>
  <c r="CE108"/>
  <c r="CE107"/>
  <c r="CE106"/>
  <c r="CU10" a="1"/>
  <c r="CU194" a="1"/>
  <c r="CG50" a="1"/>
  <c r="CG42" a="1"/>
  <c r="CG194" a="1"/>
  <c r="CG114" a="1"/>
  <c r="CU130" a="1"/>
  <c r="CG146" a="1"/>
  <c r="CG10" a="1"/>
  <c r="CG74" a="1"/>
  <c r="CK141"/>
  <c r="CK140"/>
  <c r="CK139"/>
  <c r="CK138"/>
  <c r="CN141"/>
  <c r="CN140"/>
  <c r="CN139"/>
  <c r="CN138"/>
  <c r="CL141"/>
  <c r="CL139"/>
  <c r="CM140"/>
  <c r="CM138"/>
  <c r="CM141"/>
  <c r="CL138"/>
  <c r="CM139"/>
  <c r="CL140"/>
  <c r="CE122"/>
  <c r="CE123"/>
  <c r="CE124"/>
  <c r="CM165"/>
  <c r="CM164"/>
  <c r="CM163"/>
  <c r="CM162"/>
  <c r="CL165"/>
  <c r="CL164"/>
  <c r="CL163"/>
  <c r="CL162"/>
  <c r="CN165"/>
  <c r="CN163"/>
  <c r="CK165"/>
  <c r="CK163"/>
  <c r="CK162"/>
  <c r="CN164"/>
  <c r="CN162"/>
  <c r="CK164"/>
  <c r="CM21"/>
  <c r="CM20"/>
  <c r="CM19"/>
  <c r="CM18"/>
  <c r="CN21"/>
  <c r="CN20"/>
  <c r="CN19"/>
  <c r="CN18"/>
  <c r="CK21"/>
  <c r="CK20"/>
  <c r="CK19"/>
  <c r="CK18"/>
  <c r="CL20"/>
  <c r="CL21"/>
  <c r="CL18"/>
  <c r="CL19"/>
  <c r="CQ172"/>
  <c r="CP170"/>
  <c r="CQ157"/>
  <c r="CQ156"/>
  <c r="CQ155"/>
  <c r="CQ154"/>
  <c r="CP157"/>
  <c r="CP156"/>
  <c r="CP155"/>
  <c r="CP154"/>
  <c r="CS157"/>
  <c r="CS155"/>
  <c r="CR157"/>
  <c r="CR155"/>
  <c r="CR156"/>
  <c r="CS154"/>
  <c r="CR154"/>
  <c r="CS156"/>
  <c r="CM101"/>
  <c r="CM100"/>
  <c r="CM99"/>
  <c r="CM98"/>
  <c r="CL101"/>
  <c r="CL100"/>
  <c r="CL99"/>
  <c r="CL98"/>
  <c r="CK101"/>
  <c r="CK99"/>
  <c r="CK100"/>
  <c r="CN100"/>
  <c r="CK98"/>
  <c r="CN98"/>
  <c r="CN99"/>
  <c r="CN101"/>
  <c r="CQ85"/>
  <c r="CQ84"/>
  <c r="CQ83"/>
  <c r="CP85"/>
  <c r="CP84"/>
  <c r="CP83"/>
  <c r="CP82"/>
  <c r="CS85"/>
  <c r="CS83"/>
  <c r="CQ82"/>
  <c r="CR84"/>
  <c r="CS84"/>
  <c r="CR82"/>
  <c r="CS82"/>
  <c r="CR83"/>
  <c r="CR85"/>
  <c r="CE171"/>
  <c r="CQ69"/>
  <c r="CQ68"/>
  <c r="CQ67"/>
  <c r="CQ66"/>
  <c r="CR69"/>
  <c r="CR68"/>
  <c r="CR67"/>
  <c r="CR66"/>
  <c r="CP68"/>
  <c r="CP66"/>
  <c r="CP69"/>
  <c r="CP67"/>
  <c r="CS67"/>
  <c r="CS68"/>
  <c r="CS66"/>
  <c r="CS69"/>
  <c r="CE90" a="1"/>
  <c r="CP90" a="1"/>
  <c r="CK90" a="1"/>
  <c r="CQ5"/>
  <c r="CQ4"/>
  <c r="CQ3"/>
  <c r="CQ2"/>
  <c r="CR5"/>
  <c r="CR4"/>
  <c r="CR3"/>
  <c r="CR2"/>
  <c r="CS5"/>
  <c r="CS4"/>
  <c r="CS3"/>
  <c r="CS2"/>
  <c r="CP4"/>
  <c r="CP2"/>
  <c r="CP3"/>
  <c r="CP5"/>
  <c r="CS141"/>
  <c r="CS140"/>
  <c r="CS139"/>
  <c r="CS138"/>
  <c r="CR141"/>
  <c r="CR140"/>
  <c r="CR139"/>
  <c r="CR138"/>
  <c r="CP141"/>
  <c r="CP139"/>
  <c r="CQ140"/>
  <c r="CQ138"/>
  <c r="CQ141"/>
  <c r="CP138"/>
  <c r="CQ139"/>
  <c r="CP140"/>
  <c r="CM61"/>
  <c r="CM60"/>
  <c r="CM59"/>
  <c r="CM58"/>
  <c r="CN61"/>
  <c r="CN60"/>
  <c r="CN59"/>
  <c r="CN58"/>
  <c r="CK60"/>
  <c r="CK58"/>
  <c r="CL60"/>
  <c r="CL58"/>
  <c r="CK61"/>
  <c r="CK59"/>
  <c r="CL61"/>
  <c r="CL59"/>
  <c r="CE83"/>
  <c r="CE82"/>
  <c r="CE84"/>
  <c r="CE164"/>
  <c r="CE163"/>
  <c r="CE162"/>
  <c r="CM29"/>
  <c r="CM28"/>
  <c r="CM27"/>
  <c r="CM26"/>
  <c r="CN29"/>
  <c r="CN28"/>
  <c r="CN27"/>
  <c r="CN26"/>
  <c r="CK29"/>
  <c r="CK28"/>
  <c r="CK27"/>
  <c r="CK26"/>
  <c r="CL27"/>
  <c r="CL26"/>
  <c r="CL28"/>
  <c r="CL29"/>
  <c r="CQ21"/>
  <c r="CQ20"/>
  <c r="CQ19"/>
  <c r="CQ18"/>
  <c r="CR21"/>
  <c r="CR20"/>
  <c r="CR19"/>
  <c r="CR18"/>
  <c r="CS21"/>
  <c r="CS20"/>
  <c r="CS19"/>
  <c r="CS18"/>
  <c r="CP20"/>
  <c r="CP18"/>
  <c r="CP19"/>
  <c r="CP21"/>
  <c r="CN170"/>
  <c r="CL170"/>
  <c r="CQ37"/>
  <c r="CQ36"/>
  <c r="CQ35"/>
  <c r="CQ34"/>
  <c r="CR37"/>
  <c r="CR36"/>
  <c r="CR35"/>
  <c r="CR34"/>
  <c r="CS37"/>
  <c r="CS36"/>
  <c r="CS35"/>
  <c r="CS34"/>
  <c r="CP35"/>
  <c r="CP34"/>
  <c r="CP36"/>
  <c r="CP37"/>
  <c r="CR109"/>
  <c r="CR108"/>
  <c r="CR107"/>
  <c r="CR106"/>
  <c r="CS109"/>
  <c r="CQ108"/>
  <c r="CP107"/>
  <c r="CQ109"/>
  <c r="CP108"/>
  <c r="CS106"/>
  <c r="CS108"/>
  <c r="CP106"/>
  <c r="CQ106"/>
  <c r="CQ107"/>
  <c r="CS107"/>
  <c r="CP109"/>
  <c r="CM69"/>
  <c r="CM68"/>
  <c r="CM67"/>
  <c r="CM66"/>
  <c r="CN69"/>
  <c r="CN68"/>
  <c r="CN67"/>
  <c r="CN66"/>
  <c r="CL68"/>
  <c r="CL66"/>
  <c r="CL69"/>
  <c r="CK68"/>
  <c r="CK66"/>
  <c r="CK69"/>
  <c r="CK67"/>
  <c r="CL67"/>
  <c r="CU114" a="1"/>
  <c r="CG186" a="1"/>
  <c r="CU50" a="1"/>
  <c r="CU42" a="1"/>
  <c r="CU74" a="1"/>
  <c r="B58" i="13"/>
  <c r="B56"/>
  <c r="B55"/>
  <c r="B54"/>
  <c r="B53"/>
  <c r="B52"/>
  <c r="B51"/>
  <c r="CS170" i="20" l="1"/>
  <c r="CR171"/>
  <c r="CQ171"/>
  <c r="CS171"/>
  <c r="CU178" a="1"/>
  <c r="CV180" s="1"/>
  <c r="CU146" a="1"/>
  <c r="CX147" s="1"/>
  <c r="CE170"/>
  <c r="CG170" s="1" a="1"/>
  <c r="CR172"/>
  <c r="CR170"/>
  <c r="CS173"/>
  <c r="CL172"/>
  <c r="CP171"/>
  <c r="CP172"/>
  <c r="CQ173"/>
  <c r="CM172"/>
  <c r="CS172"/>
  <c r="CP173"/>
  <c r="CQ170"/>
  <c r="CL171"/>
  <c r="CN172"/>
  <c r="CK171"/>
  <c r="CM171"/>
  <c r="CK173"/>
  <c r="CK170"/>
  <c r="CL173"/>
  <c r="CM170"/>
  <c r="CG162" a="1"/>
  <c r="CH162" s="1"/>
  <c r="CG82" a="1"/>
  <c r="CI82" s="1"/>
  <c r="CG106" a="1"/>
  <c r="CH106" s="1"/>
  <c r="CG18" a="1"/>
  <c r="CH18" s="1"/>
  <c r="CG154" a="1"/>
  <c r="CI154" s="1"/>
  <c r="CG34" a="1"/>
  <c r="CG34" s="1"/>
  <c r="CG66" a="1"/>
  <c r="CG66" s="1"/>
  <c r="CG58" a="1"/>
  <c r="CI58" s="1"/>
  <c r="CG130"/>
  <c r="CN171"/>
  <c r="CK172"/>
  <c r="CN173"/>
  <c r="CG138" a="1"/>
  <c r="CI138" s="1"/>
  <c r="CU26" a="1"/>
  <c r="CU28" s="1"/>
  <c r="CW26"/>
  <c r="CH82"/>
  <c r="CE92"/>
  <c r="CE91"/>
  <c r="CE90"/>
  <c r="CX146"/>
  <c r="CU149"/>
  <c r="CU146"/>
  <c r="CW149"/>
  <c r="CI114"/>
  <c r="CH114"/>
  <c r="CG114"/>
  <c r="CI178"/>
  <c r="CG178"/>
  <c r="CH178"/>
  <c r="CI18"/>
  <c r="CG18"/>
  <c r="CH66"/>
  <c r="CG58"/>
  <c r="CV45"/>
  <c r="CV44"/>
  <c r="CV43"/>
  <c r="CV42"/>
  <c r="CU45"/>
  <c r="CX43"/>
  <c r="CW42"/>
  <c r="CX45"/>
  <c r="DB42" s="1"/>
  <c r="DE42" s="1"/>
  <c r="CW44"/>
  <c r="DA42" s="1"/>
  <c r="CU43"/>
  <c r="CW45"/>
  <c r="CU44"/>
  <c r="CX42"/>
  <c r="CU42"/>
  <c r="CW43"/>
  <c r="CX44"/>
  <c r="CV117"/>
  <c r="CV116"/>
  <c r="CV115"/>
  <c r="CV114"/>
  <c r="CU117"/>
  <c r="CX115"/>
  <c r="CW114"/>
  <c r="CX116"/>
  <c r="CW115"/>
  <c r="CU114"/>
  <c r="CW117"/>
  <c r="CX114"/>
  <c r="CU115"/>
  <c r="CU116"/>
  <c r="CW116"/>
  <c r="DA114" s="1"/>
  <c r="CX117"/>
  <c r="DB114" s="1"/>
  <c r="DE114" s="1"/>
  <c r="CQ93"/>
  <c r="CQ92"/>
  <c r="CQ91"/>
  <c r="CQ90"/>
  <c r="CP93"/>
  <c r="CP92"/>
  <c r="CP91"/>
  <c r="CP90"/>
  <c r="CR93"/>
  <c r="CR91"/>
  <c r="CR92"/>
  <c r="CS92"/>
  <c r="CR90"/>
  <c r="CS90"/>
  <c r="CS91"/>
  <c r="CS93"/>
  <c r="CI74"/>
  <c r="CG74"/>
  <c r="CH74"/>
  <c r="CV133"/>
  <c r="CV132"/>
  <c r="CV131"/>
  <c r="CV130"/>
  <c r="CX133"/>
  <c r="DB130" s="1"/>
  <c r="DE130" s="1"/>
  <c r="CW132"/>
  <c r="DA130" s="1"/>
  <c r="CU131"/>
  <c r="CW133"/>
  <c r="CU132"/>
  <c r="CX130"/>
  <c r="CX132"/>
  <c r="CU130"/>
  <c r="CU133"/>
  <c r="CW130"/>
  <c r="CX131"/>
  <c r="CW131"/>
  <c r="CI50"/>
  <c r="CH50"/>
  <c r="CG50"/>
  <c r="CV189"/>
  <c r="CV188"/>
  <c r="CV187"/>
  <c r="CV186"/>
  <c r="CU189"/>
  <c r="CU188"/>
  <c r="CU187"/>
  <c r="CU186"/>
  <c r="CX189"/>
  <c r="DB186" s="1"/>
  <c r="DE186" s="1"/>
  <c r="CX187"/>
  <c r="CW189"/>
  <c r="CW187"/>
  <c r="CX188"/>
  <c r="CW188"/>
  <c r="DA186" s="1"/>
  <c r="CW186"/>
  <c r="CX186"/>
  <c r="CU18" a="1"/>
  <c r="CU2" a="1"/>
  <c r="CU106" a="1"/>
  <c r="CU66" a="1"/>
  <c r="CU98" a="1"/>
  <c r="CU162" a="1"/>
  <c r="CU138" a="1"/>
  <c r="CU34" a="1"/>
  <c r="CG26" a="1"/>
  <c r="CV179"/>
  <c r="CU179"/>
  <c r="CX181"/>
  <c r="DB178" s="1"/>
  <c r="DE178" s="1"/>
  <c r="CW181"/>
  <c r="CU77"/>
  <c r="CU76"/>
  <c r="CU75"/>
  <c r="CU74"/>
  <c r="CV77"/>
  <c r="CV76"/>
  <c r="CV75"/>
  <c r="CV74"/>
  <c r="CW76"/>
  <c r="DA74" s="1"/>
  <c r="CW74"/>
  <c r="CW77"/>
  <c r="CW75"/>
  <c r="CX77"/>
  <c r="DB74" s="1"/>
  <c r="DE74" s="1"/>
  <c r="CX75"/>
  <c r="CX76"/>
  <c r="CX74"/>
  <c r="CI186"/>
  <c r="CH186"/>
  <c r="CG186"/>
  <c r="CM93"/>
  <c r="CM92"/>
  <c r="CM91"/>
  <c r="CM90"/>
  <c r="CL93"/>
  <c r="CL92"/>
  <c r="CL91"/>
  <c r="CL90"/>
  <c r="CN93"/>
  <c r="CN91"/>
  <c r="CK91"/>
  <c r="CK92"/>
  <c r="CK93"/>
  <c r="CN92"/>
  <c r="CK90"/>
  <c r="CN90"/>
  <c r="CH146"/>
  <c r="CI146"/>
  <c r="CG146"/>
  <c r="CI42"/>
  <c r="CG42"/>
  <c r="CH42"/>
  <c r="CU13"/>
  <c r="CU12"/>
  <c r="CU11"/>
  <c r="CU10"/>
  <c r="CW12"/>
  <c r="DA10" s="1"/>
  <c r="CV13"/>
  <c r="CV12"/>
  <c r="CV11"/>
  <c r="CV10"/>
  <c r="CW13"/>
  <c r="CW11"/>
  <c r="CW10"/>
  <c r="CX10"/>
  <c r="CX11"/>
  <c r="CX13"/>
  <c r="DB10" s="1"/>
  <c r="DE10" s="1"/>
  <c r="CX12"/>
  <c r="CU53"/>
  <c r="CU52"/>
  <c r="CU51"/>
  <c r="CU50"/>
  <c r="CV53"/>
  <c r="CV52"/>
  <c r="CV51"/>
  <c r="CV50"/>
  <c r="CX52"/>
  <c r="CX50"/>
  <c r="CX53"/>
  <c r="DB50" s="1"/>
  <c r="DE50" s="1"/>
  <c r="CX51"/>
  <c r="CW53"/>
  <c r="CW51"/>
  <c r="CW52"/>
  <c r="DA50" s="1"/>
  <c r="CW50"/>
  <c r="CI10"/>
  <c r="CG10"/>
  <c r="CH10"/>
  <c r="CI194"/>
  <c r="CH194"/>
  <c r="CG194"/>
  <c r="CV197"/>
  <c r="CV196"/>
  <c r="CV195"/>
  <c r="CV194"/>
  <c r="CU197"/>
  <c r="CU196"/>
  <c r="CU195"/>
  <c r="CU194"/>
  <c r="CX196"/>
  <c r="CX194"/>
  <c r="CW196"/>
  <c r="DA194" s="1"/>
  <c r="CW194"/>
  <c r="CW197"/>
  <c r="CX195"/>
  <c r="CX197"/>
  <c r="DB194" s="1"/>
  <c r="DE194" s="1"/>
  <c r="CW195"/>
  <c r="CU58" a="1"/>
  <c r="CG122" a="1"/>
  <c r="CU82" a="1"/>
  <c r="CG98" a="1"/>
  <c r="CU154" a="1"/>
  <c r="CU122" a="1"/>
  <c r="CG2" a="1"/>
  <c r="B50" i="13"/>
  <c r="B48"/>
  <c r="B47"/>
  <c r="B46"/>
  <c r="B45"/>
  <c r="B44"/>
  <c r="B43"/>
  <c r="CW179" i="20" l="1"/>
  <c r="CW180"/>
  <c r="DA178" s="1"/>
  <c r="CU181"/>
  <c r="CV181"/>
  <c r="CH58"/>
  <c r="CU147"/>
  <c r="CV146"/>
  <c r="CU148"/>
  <c r="CX148"/>
  <c r="CU170" a="1"/>
  <c r="CV172" s="1"/>
  <c r="CX180"/>
  <c r="CX179"/>
  <c r="CU178"/>
  <c r="DG178" s="1"/>
  <c r="CV178"/>
  <c r="CV148"/>
  <c r="CW147"/>
  <c r="CV149"/>
  <c r="CX149"/>
  <c r="DB146" s="1"/>
  <c r="DE146" s="1"/>
  <c r="CX178"/>
  <c r="CW178"/>
  <c r="CU180"/>
  <c r="CI66"/>
  <c r="CI106"/>
  <c r="CV147"/>
  <c r="CW148"/>
  <c r="DA146" s="1"/>
  <c r="CW146"/>
  <c r="CV26"/>
  <c r="CX27"/>
  <c r="CU26"/>
  <c r="DG26" s="1"/>
  <c r="CH34"/>
  <c r="CG106"/>
  <c r="CX28"/>
  <c r="CW27"/>
  <c r="CH154"/>
  <c r="CG162"/>
  <c r="CV27"/>
  <c r="CU27"/>
  <c r="CG138"/>
  <c r="CG154"/>
  <c r="CU90" a="1"/>
  <c r="CU93" s="1"/>
  <c r="CH138"/>
  <c r="CI34"/>
  <c r="CG90" a="1"/>
  <c r="CG90" s="1"/>
  <c r="CG82"/>
  <c r="CI162"/>
  <c r="CX26"/>
  <c r="CV29"/>
  <c r="CW29"/>
  <c r="CU29"/>
  <c r="CX29"/>
  <c r="DB26" s="1"/>
  <c r="DE26" s="1"/>
  <c r="CV28"/>
  <c r="CW28"/>
  <c r="DA26" s="1"/>
  <c r="CV109"/>
  <c r="CV108"/>
  <c r="CV107"/>
  <c r="CV106"/>
  <c r="CW109"/>
  <c r="CU108"/>
  <c r="CX106"/>
  <c r="CU109"/>
  <c r="CX107"/>
  <c r="CW106"/>
  <c r="CX109"/>
  <c r="DB106" s="1"/>
  <c r="DE106" s="1"/>
  <c r="CU107"/>
  <c r="CX108"/>
  <c r="CU106"/>
  <c r="CW108"/>
  <c r="DA106" s="1"/>
  <c r="CW107"/>
  <c r="CZ146"/>
  <c r="DG146"/>
  <c r="CI90"/>
  <c r="CI2"/>
  <c r="CG2"/>
  <c r="CH2"/>
  <c r="CU85"/>
  <c r="CU84"/>
  <c r="CU83"/>
  <c r="CU82"/>
  <c r="CX85"/>
  <c r="DB82" s="1"/>
  <c r="DE82" s="1"/>
  <c r="CX84"/>
  <c r="CX83"/>
  <c r="CX82"/>
  <c r="CW85"/>
  <c r="CW83"/>
  <c r="CV85"/>
  <c r="CW82"/>
  <c r="CV83"/>
  <c r="CV84"/>
  <c r="CW84"/>
  <c r="DA82" s="1"/>
  <c r="CV82"/>
  <c r="CZ194"/>
  <c r="DG194"/>
  <c r="CU37"/>
  <c r="CU36"/>
  <c r="CU35"/>
  <c r="CU34"/>
  <c r="CV37"/>
  <c r="CV36"/>
  <c r="CV35"/>
  <c r="CV34"/>
  <c r="CW37"/>
  <c r="CW36"/>
  <c r="DA34" s="1"/>
  <c r="CW35"/>
  <c r="CW34"/>
  <c r="CX34"/>
  <c r="CX37"/>
  <c r="DB34" s="1"/>
  <c r="DE34" s="1"/>
  <c r="CX35"/>
  <c r="CX36"/>
  <c r="CU69"/>
  <c r="CU68"/>
  <c r="CU67"/>
  <c r="CU66"/>
  <c r="CV69"/>
  <c r="CV68"/>
  <c r="CV67"/>
  <c r="CV66"/>
  <c r="CX69"/>
  <c r="DB66" s="1"/>
  <c r="DE66" s="1"/>
  <c r="CX67"/>
  <c r="CX68"/>
  <c r="CW69"/>
  <c r="CW68"/>
  <c r="DA66" s="1"/>
  <c r="CW66"/>
  <c r="CX66"/>
  <c r="CW67"/>
  <c r="CI170"/>
  <c r="CH170"/>
  <c r="CG170"/>
  <c r="CI98"/>
  <c r="CH98"/>
  <c r="CG98"/>
  <c r="CV171"/>
  <c r="CV170"/>
  <c r="CU171"/>
  <c r="CU170"/>
  <c r="CX172"/>
  <c r="CX170"/>
  <c r="CX171"/>
  <c r="CW170"/>
  <c r="CZ74"/>
  <c r="DG74"/>
  <c r="CZ178"/>
  <c r="CI26"/>
  <c r="CG26"/>
  <c r="CH26"/>
  <c r="CU101"/>
  <c r="CU100"/>
  <c r="CU99"/>
  <c r="CU98"/>
  <c r="CX101"/>
  <c r="DB98" s="1"/>
  <c r="DE98" s="1"/>
  <c r="CX100"/>
  <c r="CX99"/>
  <c r="CX98"/>
  <c r="CW100"/>
  <c r="DA98" s="1"/>
  <c r="CW98"/>
  <c r="CW99"/>
  <c r="CV100"/>
  <c r="CV101"/>
  <c r="CV99"/>
  <c r="CW101"/>
  <c r="CV98"/>
  <c r="CU21"/>
  <c r="CU20"/>
  <c r="CU19"/>
  <c r="CU18"/>
  <c r="CV21"/>
  <c r="CV20"/>
  <c r="CV19"/>
  <c r="CV18"/>
  <c r="CW21"/>
  <c r="CW20"/>
  <c r="DA18" s="1"/>
  <c r="CW19"/>
  <c r="CW18"/>
  <c r="CX19"/>
  <c r="CX20"/>
  <c r="CX21"/>
  <c r="DB18" s="1"/>
  <c r="DE18" s="1"/>
  <c r="CX18"/>
  <c r="CZ186"/>
  <c r="DG186"/>
  <c r="CZ114"/>
  <c r="DG114"/>
  <c r="CZ42"/>
  <c r="DG42"/>
  <c r="CV125"/>
  <c r="CV124"/>
  <c r="CV123"/>
  <c r="CV122"/>
  <c r="CX124"/>
  <c r="CW123"/>
  <c r="CU122"/>
  <c r="CX125"/>
  <c r="DB122" s="1"/>
  <c r="DE122" s="1"/>
  <c r="CW124"/>
  <c r="DA122" s="1"/>
  <c r="CU123"/>
  <c r="CU125"/>
  <c r="CW122"/>
  <c r="CW125"/>
  <c r="CX122"/>
  <c r="CU124"/>
  <c r="CX123"/>
  <c r="CH122"/>
  <c r="CG122"/>
  <c r="CI122"/>
  <c r="CW141"/>
  <c r="CW140"/>
  <c r="DA138" s="1"/>
  <c r="CW139"/>
  <c r="CW138"/>
  <c r="CV141"/>
  <c r="CV140"/>
  <c r="CV139"/>
  <c r="CV138"/>
  <c r="CX140"/>
  <c r="CX138"/>
  <c r="CU140"/>
  <c r="CU138"/>
  <c r="CU141"/>
  <c r="CX141"/>
  <c r="DB138" s="1"/>
  <c r="DE138" s="1"/>
  <c r="CU139"/>
  <c r="CX139"/>
  <c r="CU157"/>
  <c r="CU156"/>
  <c r="CU155"/>
  <c r="CU154"/>
  <c r="CX157"/>
  <c r="DB154" s="1"/>
  <c r="DE154" s="1"/>
  <c r="CX156"/>
  <c r="CX155"/>
  <c r="CX154"/>
  <c r="CW157"/>
  <c r="CW155"/>
  <c r="CV157"/>
  <c r="CV155"/>
  <c r="CV156"/>
  <c r="CW154"/>
  <c r="CW156"/>
  <c r="DA154" s="1"/>
  <c r="CV154"/>
  <c r="CU61"/>
  <c r="CU60"/>
  <c r="CU59"/>
  <c r="CU58"/>
  <c r="CV61"/>
  <c r="CV60"/>
  <c r="CV59"/>
  <c r="CV58"/>
  <c r="CW61"/>
  <c r="CW59"/>
  <c r="CX61"/>
  <c r="DB58" s="1"/>
  <c r="DE58" s="1"/>
  <c r="CX59"/>
  <c r="CW60"/>
  <c r="DA58" s="1"/>
  <c r="CW58"/>
  <c r="CX60"/>
  <c r="CX58"/>
  <c r="CZ50"/>
  <c r="DG50"/>
  <c r="CZ10"/>
  <c r="DG10"/>
  <c r="CU165"/>
  <c r="CU164"/>
  <c r="CU163"/>
  <c r="CU162"/>
  <c r="CX165"/>
  <c r="DB162" s="1"/>
  <c r="DE162" s="1"/>
  <c r="CX164"/>
  <c r="CX163"/>
  <c r="CX162"/>
  <c r="CV165"/>
  <c r="CV163"/>
  <c r="CW164"/>
  <c r="DA162" s="1"/>
  <c r="CW162"/>
  <c r="CW165"/>
  <c r="CV164"/>
  <c r="CV162"/>
  <c r="CW163"/>
  <c r="CU5"/>
  <c r="CU4"/>
  <c r="CU3"/>
  <c r="CU2"/>
  <c r="CV5"/>
  <c r="CV4"/>
  <c r="CV3"/>
  <c r="CV2"/>
  <c r="CW5"/>
  <c r="CW4"/>
  <c r="DA2" s="1"/>
  <c r="CW3"/>
  <c r="CW2"/>
  <c r="CX2"/>
  <c r="CX3"/>
  <c r="CX5"/>
  <c r="DB2" s="1"/>
  <c r="DE2" s="1"/>
  <c r="CX4"/>
  <c r="CZ130"/>
  <c r="DG130"/>
  <c r="B42" i="13"/>
  <c r="B40"/>
  <c r="B39"/>
  <c r="B38"/>
  <c r="B37"/>
  <c r="B36"/>
  <c r="B35"/>
  <c r="CX173" i="20" l="1"/>
  <c r="DB170" s="1"/>
  <c r="DE170" s="1"/>
  <c r="CW173"/>
  <c r="CU173"/>
  <c r="CV173"/>
  <c r="CW172"/>
  <c r="DA170" s="1"/>
  <c r="CW171"/>
  <c r="CU172"/>
  <c r="CZ26"/>
  <c r="CW92"/>
  <c r="DA90" s="1"/>
  <c r="CW93"/>
  <c r="CW90"/>
  <c r="CX91"/>
  <c r="CU92"/>
  <c r="CV90"/>
  <c r="CX90"/>
  <c r="CU91"/>
  <c r="CX92"/>
  <c r="CV92"/>
  <c r="CV91"/>
  <c r="CU90"/>
  <c r="CH90"/>
  <c r="CW91"/>
  <c r="CV93"/>
  <c r="CX93"/>
  <c r="DB90" s="1"/>
  <c r="DE90" s="1"/>
  <c r="CZ2"/>
  <c r="DG2"/>
  <c r="CZ162"/>
  <c r="DG162"/>
  <c r="CZ58"/>
  <c r="DG58"/>
  <c r="CZ154"/>
  <c r="DG154"/>
  <c r="CZ138"/>
  <c r="DG138"/>
  <c r="CZ122"/>
  <c r="DG122"/>
  <c r="CZ170"/>
  <c r="DG170"/>
  <c r="CZ82"/>
  <c r="DG82"/>
  <c r="CZ66"/>
  <c r="DG66"/>
  <c r="CZ34"/>
  <c r="DG34"/>
  <c r="CZ106"/>
  <c r="DG106"/>
  <c r="CZ18"/>
  <c r="DG18"/>
  <c r="CZ98"/>
  <c r="DG98"/>
  <c r="B34" i="13"/>
  <c r="B32"/>
  <c r="B31"/>
  <c r="B30"/>
  <c r="B29"/>
  <c r="B28"/>
  <c r="B27"/>
  <c r="CZ90" i="20" l="1"/>
  <c r="DG90"/>
  <c r="B26" i="13"/>
  <c r="B24"/>
  <c r="B23"/>
  <c r="B22"/>
  <c r="B21"/>
  <c r="B20"/>
  <c r="B19"/>
  <c r="B18" l="1"/>
  <c r="B16"/>
  <c r="B15"/>
  <c r="B14"/>
  <c r="B13"/>
  <c r="B12"/>
  <c r="B11"/>
  <c r="B10" l="1"/>
  <c r="B8"/>
  <c r="B7"/>
  <c r="B6"/>
  <c r="B5"/>
  <c r="B4"/>
  <c r="B3"/>
  <c r="B2" l="1"/>
  <c r="J12" i="11"/>
  <c r="K12"/>
  <c r="L12"/>
  <c r="M12"/>
  <c r="J11"/>
  <c r="K11"/>
  <c r="L11"/>
  <c r="M11"/>
  <c r="J10"/>
  <c r="K10"/>
  <c r="L10"/>
  <c r="M10"/>
  <c r="J9"/>
  <c r="K9"/>
  <c r="L9"/>
  <c r="M9"/>
  <c r="J8"/>
  <c r="K8"/>
  <c r="L8"/>
  <c r="M8"/>
  <c r="J7"/>
  <c r="K7"/>
  <c r="L7"/>
  <c r="M7"/>
  <c r="J12" i="10"/>
  <c r="K12"/>
  <c r="L12"/>
  <c r="M12"/>
  <c r="J11"/>
  <c r="K11"/>
  <c r="L11"/>
  <c r="M11"/>
  <c r="J10"/>
  <c r="K10"/>
  <c r="L10"/>
  <c r="M10"/>
  <c r="J9"/>
  <c r="K9"/>
  <c r="L9"/>
  <c r="M9"/>
  <c r="J8"/>
  <c r="K8"/>
  <c r="L8"/>
  <c r="M8"/>
  <c r="J7"/>
  <c r="K7"/>
  <c r="L7"/>
  <c r="M7"/>
  <c r="J12" i="9"/>
  <c r="K12"/>
  <c r="L12"/>
  <c r="M12"/>
  <c r="J11"/>
  <c r="K11"/>
  <c r="L11"/>
  <c r="M11"/>
  <c r="J10"/>
  <c r="K10"/>
  <c r="L10"/>
  <c r="M10"/>
  <c r="J9"/>
  <c r="K9"/>
  <c r="L9"/>
  <c r="M9"/>
  <c r="J8"/>
  <c r="K8"/>
  <c r="L8"/>
  <c r="M8"/>
  <c r="J7"/>
  <c r="K7"/>
  <c r="L7"/>
  <c r="M7"/>
  <c r="J12" i="8"/>
  <c r="K12"/>
  <c r="L12"/>
  <c r="M12"/>
  <c r="J11"/>
  <c r="K11"/>
  <c r="L11"/>
  <c r="M11"/>
  <c r="J10"/>
  <c r="K10"/>
  <c r="L10"/>
  <c r="M10"/>
  <c r="J9"/>
  <c r="K9"/>
  <c r="L9"/>
  <c r="M9"/>
  <c r="J8"/>
  <c r="K8"/>
  <c r="L8"/>
  <c r="M8"/>
  <c r="J7"/>
  <c r="K7"/>
  <c r="L7"/>
  <c r="M7"/>
  <c r="J12" i="7"/>
  <c r="K12"/>
  <c r="L12"/>
  <c r="M12"/>
  <c r="J11"/>
  <c r="K11"/>
  <c r="L11"/>
  <c r="M11"/>
  <c r="J10"/>
  <c r="K10"/>
  <c r="L10"/>
  <c r="M10"/>
  <c r="J9"/>
  <c r="K9"/>
  <c r="L9"/>
  <c r="M9"/>
  <c r="J8"/>
  <c r="K8"/>
  <c r="L8"/>
  <c r="M8"/>
  <c r="J7"/>
  <c r="K7"/>
  <c r="L7"/>
  <c r="M7"/>
  <c r="J12" i="6"/>
  <c r="K12"/>
  <c r="L12"/>
  <c r="M12"/>
  <c r="J11"/>
  <c r="K11"/>
  <c r="L11"/>
  <c r="M11"/>
  <c r="J10"/>
  <c r="K10"/>
  <c r="L10"/>
  <c r="M10"/>
  <c r="J9"/>
  <c r="K9"/>
  <c r="L9"/>
  <c r="M9"/>
  <c r="J8"/>
  <c r="K8"/>
  <c r="L8"/>
  <c r="M8"/>
  <c r="J7"/>
  <c r="K7"/>
  <c r="L7"/>
  <c r="M7"/>
  <c r="J12" i="5"/>
  <c r="K12"/>
  <c r="L12"/>
  <c r="M12"/>
  <c r="J11"/>
  <c r="K11"/>
  <c r="L11"/>
  <c r="M11"/>
  <c r="J10"/>
  <c r="K10"/>
  <c r="L10"/>
  <c r="M10"/>
  <c r="J9"/>
  <c r="K9"/>
  <c r="L9"/>
  <c r="M9"/>
  <c r="M8"/>
  <c r="L8"/>
  <c r="K8"/>
  <c r="J8"/>
  <c r="J7"/>
  <c r="K7"/>
  <c r="L7"/>
  <c r="M7"/>
  <c r="H12" i="11"/>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10"/>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9"/>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8"/>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7"/>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6"/>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H12" i="5"/>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M9" i="2"/>
  <c r="L9"/>
  <c r="K9"/>
  <c r="J9"/>
  <c r="M8"/>
  <c r="L8"/>
  <c r="K8"/>
  <c r="J8"/>
  <c r="M7"/>
  <c r="L7"/>
  <c r="K7"/>
  <c r="J7"/>
  <c r="M6"/>
  <c r="L6"/>
  <c r="K6"/>
  <c r="J6"/>
  <c r="I6"/>
  <c r="M5"/>
  <c r="L5"/>
  <c r="K5"/>
  <c r="J5"/>
  <c r="I5"/>
  <c r="M4"/>
  <c r="L4"/>
  <c r="K4"/>
  <c r="J4"/>
  <c r="I4"/>
  <c r="M3"/>
  <c r="L3"/>
  <c r="K3"/>
  <c r="J3"/>
  <c r="I3"/>
  <c r="M2"/>
  <c r="L2"/>
  <c r="K2"/>
  <c r="J2"/>
  <c r="I2"/>
  <c r="H12"/>
  <c r="G12"/>
  <c r="F12"/>
  <c r="E12"/>
  <c r="D12"/>
  <c r="C12"/>
  <c r="B12"/>
  <c r="H11"/>
  <c r="G11"/>
  <c r="F11"/>
  <c r="E11"/>
  <c r="D11"/>
  <c r="C11"/>
  <c r="B11"/>
  <c r="H10"/>
  <c r="G10"/>
  <c r="F10"/>
  <c r="E10"/>
  <c r="D10"/>
  <c r="C10"/>
  <c r="B10"/>
  <c r="H9"/>
  <c r="G9"/>
  <c r="F9"/>
  <c r="E9"/>
  <c r="D9"/>
  <c r="C9"/>
  <c r="B9"/>
  <c r="H8"/>
  <c r="G8"/>
  <c r="F8"/>
  <c r="E8"/>
  <c r="D8"/>
  <c r="C8"/>
  <c r="B8"/>
  <c r="H7"/>
  <c r="G7"/>
  <c r="F7"/>
  <c r="E7"/>
  <c r="D7"/>
  <c r="C7"/>
  <c r="B7"/>
  <c r="H6"/>
  <c r="G6"/>
  <c r="F6"/>
  <c r="E6"/>
  <c r="D6"/>
  <c r="C6"/>
  <c r="B6"/>
  <c r="H5"/>
  <c r="G5"/>
  <c r="F5"/>
  <c r="E5"/>
  <c r="D5"/>
  <c r="C5"/>
  <c r="B5"/>
  <c r="H4"/>
  <c r="G4"/>
  <c r="F4"/>
  <c r="E4"/>
  <c r="D4"/>
  <c r="C4"/>
  <c r="B4"/>
  <c r="A3"/>
  <c r="H3" s="1"/>
  <c r="H2"/>
  <c r="G2"/>
  <c r="F2"/>
  <c r="E2"/>
  <c r="D2"/>
  <c r="C2"/>
  <c r="B2"/>
  <c r="F3" i="8" l="1"/>
  <c r="D3" i="10"/>
  <c r="F3" i="6"/>
  <c r="D3" i="8"/>
  <c r="B3" i="10"/>
  <c r="D3" i="6"/>
  <c r="B3" i="8"/>
  <c r="B3" i="6"/>
  <c r="F3" i="10"/>
  <c r="C3" i="2"/>
  <c r="E3"/>
  <c r="G3"/>
  <c r="C3" i="5"/>
  <c r="E3"/>
  <c r="G3"/>
  <c r="C3" i="7"/>
  <c r="E3"/>
  <c r="G3"/>
  <c r="C3" i="9"/>
  <c r="E3"/>
  <c r="G3"/>
  <c r="C3" i="11"/>
  <c r="E3"/>
  <c r="G3"/>
  <c r="B3" i="2"/>
  <c r="D3"/>
  <c r="S4" s="1" a="1"/>
  <c r="F3"/>
  <c r="W9" a="1"/>
  <c r="W9" s="1"/>
  <c r="S5" a="1"/>
  <c r="AA5" s="1"/>
  <c r="B3" i="5"/>
  <c r="D3"/>
  <c r="F3"/>
  <c r="C3" i="6"/>
  <c r="E3"/>
  <c r="G3"/>
  <c r="B3" i="7"/>
  <c r="D3"/>
  <c r="F3"/>
  <c r="C3" i="8"/>
  <c r="E3"/>
  <c r="G3"/>
  <c r="B3" i="9"/>
  <c r="D3"/>
  <c r="F3"/>
  <c r="C3" i="10"/>
  <c r="E3"/>
  <c r="G3"/>
  <c r="B3" i="11"/>
  <c r="D3"/>
  <c r="F3"/>
  <c r="S6" i="2" a="1"/>
  <c r="W10" a="1"/>
  <c r="X9" l="1"/>
  <c r="AA9"/>
  <c r="Z9"/>
  <c r="V4"/>
  <c r="Z4"/>
  <c r="Y4"/>
  <c r="AA4"/>
  <c r="T4"/>
  <c r="U4"/>
  <c r="S4"/>
  <c r="X4"/>
  <c r="W4"/>
  <c r="S5"/>
  <c r="V5"/>
  <c r="W5"/>
  <c r="X5"/>
  <c r="W11" a="1"/>
  <c r="U5"/>
  <c r="T5"/>
  <c r="S3" a="1"/>
  <c r="Y3" s="1"/>
  <c r="W8" a="1"/>
  <c r="AA8" s="1"/>
  <c r="Y5"/>
  <c r="Z5"/>
  <c r="Y9"/>
  <c r="O10"/>
  <c r="O3"/>
  <c r="O11"/>
  <c r="O12"/>
  <c r="Z10"/>
  <c r="AA10"/>
  <c r="W10"/>
  <c r="X10"/>
  <c r="Y10"/>
  <c r="Y8"/>
  <c r="X6"/>
  <c r="Y6"/>
  <c r="Z6"/>
  <c r="AA6"/>
  <c r="S6"/>
  <c r="T6"/>
  <c r="U6"/>
  <c r="W6"/>
  <c r="V6"/>
  <c r="Z8" l="1"/>
  <c r="W8"/>
  <c r="O2"/>
  <c r="X8"/>
  <c r="O8"/>
  <c r="O9"/>
  <c r="O5"/>
  <c r="O6"/>
  <c r="P2"/>
  <c r="P10"/>
  <c r="P7"/>
  <c r="P3"/>
  <c r="P8"/>
  <c r="P12"/>
  <c r="L186" i="13"/>
  <c r="M194"/>
  <c r="T194" s="1"/>
  <c r="M186"/>
  <c r="T186" s="1"/>
  <c r="M178"/>
  <c r="T178" s="1"/>
  <c r="M170"/>
  <c r="T170" s="1"/>
  <c r="M162"/>
  <c r="T162" s="1"/>
  <c r="M154"/>
  <c r="T154" s="1"/>
  <c r="M146"/>
  <c r="T146" s="1"/>
  <c r="M138"/>
  <c r="T138" s="1"/>
  <c r="M130"/>
  <c r="T130" s="1"/>
  <c r="M122"/>
  <c r="T122" s="1"/>
  <c r="M114"/>
  <c r="T114" s="1"/>
  <c r="M106"/>
  <c r="T106" s="1"/>
  <c r="M98"/>
  <c r="T98" s="1"/>
  <c r="M90"/>
  <c r="T90" s="1"/>
  <c r="M82"/>
  <c r="T82" s="1"/>
  <c r="M74"/>
  <c r="T74" s="1"/>
  <c r="M66"/>
  <c r="T66" s="1"/>
  <c r="M58"/>
  <c r="T58" s="1"/>
  <c r="M50"/>
  <c r="T50" s="1"/>
  <c r="M42"/>
  <c r="T42" s="1"/>
  <c r="M34"/>
  <c r="T34" s="1"/>
  <c r="M26"/>
  <c r="T26" s="1"/>
  <c r="M18"/>
  <c r="T18" s="1"/>
  <c r="M10"/>
  <c r="T10" s="1"/>
  <c r="M2"/>
  <c r="T2" s="1"/>
  <c r="K194"/>
  <c r="K186"/>
  <c r="K178"/>
  <c r="K170"/>
  <c r="K162"/>
  <c r="K154"/>
  <c r="K146"/>
  <c r="K138"/>
  <c r="K130"/>
  <c r="K122"/>
  <c r="K114"/>
  <c r="K106"/>
  <c r="K98"/>
  <c r="K90"/>
  <c r="K82"/>
  <c r="K74"/>
  <c r="K66"/>
  <c r="K58"/>
  <c r="K50"/>
  <c r="K42"/>
  <c r="K34"/>
  <c r="K26"/>
  <c r="K18"/>
  <c r="K10"/>
  <c r="K2"/>
  <c r="P6" i="2"/>
  <c r="L2" i="13"/>
  <c r="L10"/>
  <c r="L42"/>
  <c r="L50"/>
  <c r="L66"/>
  <c r="L82"/>
  <c r="L98"/>
  <c r="L114"/>
  <c r="L130"/>
  <c r="L146"/>
  <c r="L162"/>
  <c r="L178"/>
  <c r="L194"/>
  <c r="L18"/>
  <c r="L26"/>
  <c r="L34"/>
  <c r="L58"/>
  <c r="L74"/>
  <c r="L90"/>
  <c r="L106"/>
  <c r="L122"/>
  <c r="L138"/>
  <c r="L154"/>
  <c r="L170"/>
  <c r="Z11" i="2"/>
  <c r="AA11"/>
  <c r="X11"/>
  <c r="Y11"/>
  <c r="W11"/>
  <c r="V3"/>
  <c r="T3"/>
  <c r="AA3"/>
  <c r="N6" s="1"/>
  <c r="S3"/>
  <c r="P9"/>
  <c r="P4"/>
  <c r="P11"/>
  <c r="X3"/>
  <c r="U3"/>
  <c r="W3"/>
  <c r="Z3"/>
  <c r="P5"/>
  <c r="O4"/>
  <c r="O7"/>
  <c r="Q11"/>
  <c r="Q10"/>
  <c r="Q5"/>
  <c r="Q12"/>
  <c r="Q2"/>
  <c r="Q4"/>
  <c r="Q8"/>
  <c r="Q9"/>
  <c r="Q6"/>
  <c r="Q7"/>
  <c r="Q3"/>
  <c r="N5"/>
  <c r="N10" l="1"/>
  <c r="N4"/>
  <c r="N3"/>
  <c r="N11"/>
  <c r="N8"/>
  <c r="N7"/>
  <c r="N9"/>
  <c r="N2"/>
  <c r="N12"/>
  <c r="J186" i="13"/>
  <c r="J194"/>
  <c r="J178"/>
  <c r="J162"/>
  <c r="J170"/>
  <c r="J154"/>
  <c r="J146"/>
  <c r="J138"/>
  <c r="J130"/>
  <c r="J122"/>
  <c r="J114"/>
  <c r="J106"/>
  <c r="J90"/>
  <c r="J98"/>
  <c r="J74"/>
  <c r="J82"/>
  <c r="J66"/>
  <c r="J58"/>
  <c r="J50"/>
  <c r="J42"/>
  <c r="J34"/>
  <c r="J26"/>
  <c r="J18"/>
  <c r="J10"/>
  <c r="J2"/>
  <c r="M6" i="11"/>
  <c r="L6"/>
  <c r="K6"/>
  <c r="J6"/>
  <c r="M5"/>
  <c r="L5"/>
  <c r="K5"/>
  <c r="J5"/>
  <c r="M4"/>
  <c r="L4"/>
  <c r="K4"/>
  <c r="J4"/>
  <c r="M3"/>
  <c r="L3"/>
  <c r="K3"/>
  <c r="J3"/>
  <c r="M2"/>
  <c r="L2"/>
  <c r="K2"/>
  <c r="J2"/>
  <c r="I6"/>
  <c r="I5"/>
  <c r="I4"/>
  <c r="I3"/>
  <c r="I2"/>
  <c r="I2" i="10"/>
  <c r="M6"/>
  <c r="L6"/>
  <c r="K6"/>
  <c r="J6"/>
  <c r="M5"/>
  <c r="L5"/>
  <c r="K5"/>
  <c r="J5"/>
  <c r="M4"/>
  <c r="L4"/>
  <c r="K4"/>
  <c r="J4"/>
  <c r="M3"/>
  <c r="L3"/>
  <c r="K3"/>
  <c r="J3"/>
  <c r="M2"/>
  <c r="L2"/>
  <c r="K2"/>
  <c r="J2"/>
  <c r="I6"/>
  <c r="I5"/>
  <c r="I4"/>
  <c r="I3"/>
  <c r="M6" i="9"/>
  <c r="L6"/>
  <c r="K6"/>
  <c r="J6"/>
  <c r="M5"/>
  <c r="L5"/>
  <c r="K5"/>
  <c r="J5"/>
  <c r="M4"/>
  <c r="L4"/>
  <c r="K4"/>
  <c r="J4"/>
  <c r="M3"/>
  <c r="L3"/>
  <c r="K3"/>
  <c r="J3"/>
  <c r="M2"/>
  <c r="L2"/>
  <c r="K2"/>
  <c r="J2"/>
  <c r="I6"/>
  <c r="I5"/>
  <c r="I4"/>
  <c r="I3"/>
  <c r="I2"/>
  <c r="M6" i="8"/>
  <c r="L6"/>
  <c r="K6"/>
  <c r="J6"/>
  <c r="M5"/>
  <c r="L5"/>
  <c r="K5"/>
  <c r="J5"/>
  <c r="M4"/>
  <c r="L4"/>
  <c r="K4"/>
  <c r="J4"/>
  <c r="M3"/>
  <c r="L3"/>
  <c r="K3"/>
  <c r="J3"/>
  <c r="M2"/>
  <c r="L2"/>
  <c r="K2"/>
  <c r="J2"/>
  <c r="I6"/>
  <c r="I5"/>
  <c r="I4"/>
  <c r="I3"/>
  <c r="I2"/>
  <c r="M6" i="7"/>
  <c r="L6"/>
  <c r="K6"/>
  <c r="J6"/>
  <c r="M5"/>
  <c r="L5"/>
  <c r="K5"/>
  <c r="J5"/>
  <c r="M4"/>
  <c r="L4"/>
  <c r="K4"/>
  <c r="J4"/>
  <c r="M3"/>
  <c r="L3"/>
  <c r="K3"/>
  <c r="J3"/>
  <c r="M2"/>
  <c r="L2"/>
  <c r="K2"/>
  <c r="J2"/>
  <c r="I6"/>
  <c r="I5"/>
  <c r="I4"/>
  <c r="I3"/>
  <c r="I2"/>
  <c r="M6" i="6"/>
  <c r="L6"/>
  <c r="K6"/>
  <c r="J6"/>
  <c r="M5"/>
  <c r="L5"/>
  <c r="K5"/>
  <c r="J5"/>
  <c r="M4"/>
  <c r="L4"/>
  <c r="K4"/>
  <c r="J4"/>
  <c r="M3"/>
  <c r="L3"/>
  <c r="K3"/>
  <c r="J3"/>
  <c r="M2"/>
  <c r="L2"/>
  <c r="K2"/>
  <c r="J2"/>
  <c r="I6"/>
  <c r="I5"/>
  <c r="I4"/>
  <c r="I3"/>
  <c r="I2"/>
  <c r="M6" i="5"/>
  <c r="L6"/>
  <c r="K6"/>
  <c r="J6"/>
  <c r="M5"/>
  <c r="L5"/>
  <c r="K5"/>
  <c r="J5"/>
  <c r="M4"/>
  <c r="L4"/>
  <c r="K4"/>
  <c r="J4"/>
  <c r="M3"/>
  <c r="L3"/>
  <c r="K3"/>
  <c r="J3"/>
  <c r="M2"/>
  <c r="L2"/>
  <c r="K2"/>
  <c r="J2"/>
  <c r="I6"/>
  <c r="I5"/>
  <c r="I4"/>
  <c r="I3"/>
  <c r="I2"/>
  <c r="W8" l="1" a="1"/>
  <c r="S3" a="1"/>
  <c r="S5" a="1"/>
  <c r="W10" a="1"/>
  <c r="S4" i="6" a="1"/>
  <c r="W9" a="1"/>
  <c r="W11" a="1"/>
  <c r="S6" a="1"/>
  <c r="S3" i="7" a="1"/>
  <c r="W8" a="1"/>
  <c r="S5" a="1"/>
  <c r="W10" a="1"/>
  <c r="S4" i="8" a="1"/>
  <c r="W9" a="1"/>
  <c r="W11" a="1"/>
  <c r="S6" a="1"/>
  <c r="S3" i="9" a="1"/>
  <c r="W8" a="1"/>
  <c r="S5" a="1"/>
  <c r="W10" a="1"/>
  <c r="S3" i="10" a="1"/>
  <c r="W8" a="1"/>
  <c r="S5" a="1"/>
  <c r="W10" a="1"/>
  <c r="S3" i="11" a="1"/>
  <c r="W8" a="1"/>
  <c r="W10" a="1"/>
  <c r="S5" a="1"/>
  <c r="S4" i="5" a="1"/>
  <c r="W9" a="1"/>
  <c r="S6" a="1"/>
  <c r="W11" a="1"/>
  <c r="W8" i="6" a="1"/>
  <c r="S3" a="1"/>
  <c r="S5" a="1"/>
  <c r="W10" a="1"/>
  <c r="S4" i="7" a="1"/>
  <c r="W9" a="1"/>
  <c r="W11" a="1"/>
  <c r="S6" a="1"/>
  <c r="S3" i="8" a="1"/>
  <c r="W8" a="1"/>
  <c r="S5" a="1"/>
  <c r="W10" a="1"/>
  <c r="S4" i="9" a="1"/>
  <c r="W9" a="1"/>
  <c r="W11" a="1"/>
  <c r="S6" a="1"/>
  <c r="S4" i="10" a="1"/>
  <c r="W9" a="1"/>
  <c r="W11" a="1"/>
  <c r="S6" a="1"/>
  <c r="S4" i="11" a="1"/>
  <c r="W9" a="1"/>
  <c r="S6" a="1"/>
  <c r="W11" a="1"/>
  <c r="Y4" i="10" l="1"/>
  <c r="U4"/>
  <c r="AA4"/>
  <c r="X4"/>
  <c r="W4"/>
  <c r="V4"/>
  <c r="T4"/>
  <c r="S4"/>
  <c r="Z4"/>
  <c r="T6" i="9"/>
  <c r="AA6"/>
  <c r="Z6"/>
  <c r="X6"/>
  <c r="S6"/>
  <c r="Y6"/>
  <c r="W6"/>
  <c r="V6"/>
  <c r="U6"/>
  <c r="Y4"/>
  <c r="T4"/>
  <c r="S4"/>
  <c r="X4"/>
  <c r="W4"/>
  <c r="V4"/>
  <c r="U4"/>
  <c r="AA4"/>
  <c r="Z4"/>
  <c r="Z10" i="8"/>
  <c r="Y10"/>
  <c r="AA10"/>
  <c r="X10"/>
  <c r="W10"/>
  <c r="W3"/>
  <c r="T3"/>
  <c r="V3"/>
  <c r="U3"/>
  <c r="S3"/>
  <c r="Z3"/>
  <c r="Y3"/>
  <c r="AA3"/>
  <c r="X3"/>
  <c r="Y4" i="7"/>
  <c r="V4"/>
  <c r="AA4"/>
  <c r="S4"/>
  <c r="X4"/>
  <c r="W4"/>
  <c r="U4"/>
  <c r="T4"/>
  <c r="Z4"/>
  <c r="W8" i="6"/>
  <c r="AA8"/>
  <c r="Y8"/>
  <c r="Z8"/>
  <c r="X8"/>
  <c r="Y11" i="5"/>
  <c r="X11"/>
  <c r="W11"/>
  <c r="AA11"/>
  <c r="Z11"/>
  <c r="Y4"/>
  <c r="W4"/>
  <c r="V4"/>
  <c r="X4"/>
  <c r="T4"/>
  <c r="S4"/>
  <c r="Z4"/>
  <c r="U4"/>
  <c r="AA4"/>
  <c r="Z5" i="11"/>
  <c r="W5"/>
  <c r="U5"/>
  <c r="S5"/>
  <c r="Y5"/>
  <c r="X5"/>
  <c r="V5"/>
  <c r="T5"/>
  <c r="AA5"/>
  <c r="W3"/>
  <c r="AA3"/>
  <c r="X3"/>
  <c r="V3"/>
  <c r="U3"/>
  <c r="T3"/>
  <c r="S3"/>
  <c r="Z3"/>
  <c r="Y3"/>
  <c r="Z10" i="10"/>
  <c r="Y10"/>
  <c r="AA10"/>
  <c r="X10"/>
  <c r="W10"/>
  <c r="W3"/>
  <c r="V3"/>
  <c r="U3"/>
  <c r="T3"/>
  <c r="S3"/>
  <c r="Z3"/>
  <c r="Y3"/>
  <c r="AA3"/>
  <c r="X3"/>
  <c r="Z10" i="9"/>
  <c r="Y10"/>
  <c r="X10"/>
  <c r="W10"/>
  <c r="AA10"/>
  <c r="W3"/>
  <c r="V3"/>
  <c r="U3"/>
  <c r="T3"/>
  <c r="AA3"/>
  <c r="S3"/>
  <c r="Z3"/>
  <c r="Y3"/>
  <c r="X3"/>
  <c r="Y4" i="8"/>
  <c r="V4"/>
  <c r="U4"/>
  <c r="AA4"/>
  <c r="X4"/>
  <c r="W4"/>
  <c r="T4"/>
  <c r="S4"/>
  <c r="Z4"/>
  <c r="Z10" i="7"/>
  <c r="X10"/>
  <c r="AA10"/>
  <c r="Y10"/>
  <c r="W10"/>
  <c r="W3"/>
  <c r="V3"/>
  <c r="U3"/>
  <c r="AA3"/>
  <c r="Z3"/>
  <c r="T3"/>
  <c r="S3"/>
  <c r="Y3"/>
  <c r="X3"/>
  <c r="T6" i="6"/>
  <c r="Z6"/>
  <c r="X6"/>
  <c r="S6"/>
  <c r="V6"/>
  <c r="U6"/>
  <c r="Y6"/>
  <c r="W6"/>
  <c r="AA6"/>
  <c r="Y4"/>
  <c r="V4"/>
  <c r="T4"/>
  <c r="S4"/>
  <c r="W4"/>
  <c r="Z4"/>
  <c r="U4"/>
  <c r="X4"/>
  <c r="AA4"/>
  <c r="AA10" i="5"/>
  <c r="X10"/>
  <c r="W10"/>
  <c r="Z10"/>
  <c r="Y10"/>
  <c r="W3"/>
  <c r="AA3"/>
  <c r="X3"/>
  <c r="U3"/>
  <c r="T3"/>
  <c r="S3"/>
  <c r="V3"/>
  <c r="Z3"/>
  <c r="Y3"/>
  <c r="W8"/>
  <c r="AA8"/>
  <c r="Y8"/>
  <c r="Z8"/>
  <c r="X8"/>
  <c r="X11" i="11"/>
  <c r="W11"/>
  <c r="Y11"/>
  <c r="AA11"/>
  <c r="Z11"/>
  <c r="Y4"/>
  <c r="X4"/>
  <c r="W4"/>
  <c r="V4"/>
  <c r="T4"/>
  <c r="S4"/>
  <c r="Z4"/>
  <c r="U4"/>
  <c r="AA4"/>
  <c r="T6"/>
  <c r="S6"/>
  <c r="Z6"/>
  <c r="X6"/>
  <c r="V6"/>
  <c r="U6"/>
  <c r="AA6"/>
  <c r="Y6"/>
  <c r="W6"/>
  <c r="W9"/>
  <c r="AA9"/>
  <c r="X9"/>
  <c r="Z9"/>
  <c r="Y9"/>
  <c r="T6" i="10"/>
  <c r="AA6"/>
  <c r="Z6"/>
  <c r="Y6"/>
  <c r="W6"/>
  <c r="S6"/>
  <c r="X6"/>
  <c r="V6"/>
  <c r="U6"/>
  <c r="X11"/>
  <c r="AA11"/>
  <c r="Z11"/>
  <c r="W11"/>
  <c r="Y11"/>
  <c r="W9"/>
  <c r="Z9"/>
  <c r="Y9"/>
  <c r="AA9"/>
  <c r="X9"/>
  <c r="X11" i="9"/>
  <c r="Z11"/>
  <c r="W11"/>
  <c r="AA11"/>
  <c r="Y11"/>
  <c r="W9"/>
  <c r="X9"/>
  <c r="AA9"/>
  <c r="Z9"/>
  <c r="Y9"/>
  <c r="Z5" i="8"/>
  <c r="Y5"/>
  <c r="V5"/>
  <c r="T5"/>
  <c r="AA5"/>
  <c r="X5"/>
  <c r="W5"/>
  <c r="U5"/>
  <c r="S5"/>
  <c r="W8"/>
  <c r="Z8"/>
  <c r="X8"/>
  <c r="AA8"/>
  <c r="Y8"/>
  <c r="T6" i="7"/>
  <c r="AA6"/>
  <c r="Z6"/>
  <c r="W6"/>
  <c r="S6"/>
  <c r="Y6"/>
  <c r="X6"/>
  <c r="V6"/>
  <c r="U6"/>
  <c r="X11"/>
  <c r="AA11"/>
  <c r="W11"/>
  <c r="Z11"/>
  <c r="Y11"/>
  <c r="Y9"/>
  <c r="X9"/>
  <c r="AA9"/>
  <c r="W9"/>
  <c r="Z9"/>
  <c r="Z10" i="6"/>
  <c r="Y10"/>
  <c r="X10"/>
  <c r="W10"/>
  <c r="AA10"/>
  <c r="Z5"/>
  <c r="W5"/>
  <c r="U5"/>
  <c r="S5"/>
  <c r="X5"/>
  <c r="V5"/>
  <c r="Y5"/>
  <c r="T5"/>
  <c r="AA5"/>
  <c r="W3"/>
  <c r="V3"/>
  <c r="AA3"/>
  <c r="U3"/>
  <c r="X3"/>
  <c r="T3"/>
  <c r="S3"/>
  <c r="Z3"/>
  <c r="Y3"/>
  <c r="U6" i="5"/>
  <c r="S6"/>
  <c r="T6"/>
  <c r="Z6"/>
  <c r="X6"/>
  <c r="V6"/>
  <c r="AA6"/>
  <c r="Y6"/>
  <c r="W6"/>
  <c r="W9"/>
  <c r="AA9"/>
  <c r="X9"/>
  <c r="Z9"/>
  <c r="Y9"/>
  <c r="Z10" i="11"/>
  <c r="X10"/>
  <c r="W10"/>
  <c r="Y10"/>
  <c r="AA10"/>
  <c r="W8"/>
  <c r="AA8"/>
  <c r="Y8"/>
  <c r="Z8"/>
  <c r="X8"/>
  <c r="Z5" i="10"/>
  <c r="Y5"/>
  <c r="V5"/>
  <c r="T5"/>
  <c r="AA5"/>
  <c r="X5"/>
  <c r="W5"/>
  <c r="U5"/>
  <c r="S5"/>
  <c r="W8"/>
  <c r="Z8"/>
  <c r="X8"/>
  <c r="AA8"/>
  <c r="Y8"/>
  <c r="Z5" i="9"/>
  <c r="Y5"/>
  <c r="W5"/>
  <c r="U5"/>
  <c r="X5"/>
  <c r="T5"/>
  <c r="AA5"/>
  <c r="V5"/>
  <c r="S5"/>
  <c r="W8"/>
  <c r="AA8"/>
  <c r="Y8"/>
  <c r="X8"/>
  <c r="Z8"/>
  <c r="T6" i="8"/>
  <c r="AA6"/>
  <c r="Y6"/>
  <c r="W6"/>
  <c r="S6"/>
  <c r="Z6"/>
  <c r="X6"/>
  <c r="V6"/>
  <c r="U6"/>
  <c r="X11"/>
  <c r="AA11"/>
  <c r="Z11"/>
  <c r="W11"/>
  <c r="Y11"/>
  <c r="W9"/>
  <c r="Z9"/>
  <c r="Y9"/>
  <c r="AA9"/>
  <c r="X9"/>
  <c r="Z5" i="7"/>
  <c r="Y5"/>
  <c r="W5"/>
  <c r="V5"/>
  <c r="T5"/>
  <c r="AA5"/>
  <c r="X5"/>
  <c r="U5"/>
  <c r="S5"/>
  <c r="W8"/>
  <c r="Y8"/>
  <c r="Z8"/>
  <c r="AA8"/>
  <c r="X8"/>
  <c r="X11" i="6"/>
  <c r="W11"/>
  <c r="Y11"/>
  <c r="AA11"/>
  <c r="Z11"/>
  <c r="W9"/>
  <c r="AA9"/>
  <c r="X9"/>
  <c r="Z9"/>
  <c r="Y9"/>
  <c r="AA5" i="5"/>
  <c r="W5"/>
  <c r="U5"/>
  <c r="S5"/>
  <c r="Y5"/>
  <c r="Z5"/>
  <c r="X5"/>
  <c r="V5"/>
  <c r="T5"/>
  <c r="L189" i="13" l="1"/>
  <c r="L197"/>
  <c r="L181"/>
  <c r="L165"/>
  <c r="L173"/>
  <c r="L149"/>
  <c r="L157"/>
  <c r="L141"/>
  <c r="L133"/>
  <c r="L125"/>
  <c r="L117"/>
  <c r="L109"/>
  <c r="L93"/>
  <c r="L101"/>
  <c r="L85"/>
  <c r="L77"/>
  <c r="L69"/>
  <c r="L61"/>
  <c r="L53"/>
  <c r="L45"/>
  <c r="L37"/>
  <c r="L29"/>
  <c r="L13"/>
  <c r="L21"/>
  <c r="L5"/>
  <c r="J198"/>
  <c r="J190"/>
  <c r="J182"/>
  <c r="J174"/>
  <c r="J166"/>
  <c r="J158"/>
  <c r="J142"/>
  <c r="J150"/>
  <c r="J134"/>
  <c r="J126"/>
  <c r="J118"/>
  <c r="J110"/>
  <c r="J102"/>
  <c r="J94"/>
  <c r="J86"/>
  <c r="J78"/>
  <c r="J70"/>
  <c r="J62"/>
  <c r="J54"/>
  <c r="J46"/>
  <c r="J38"/>
  <c r="J30"/>
  <c r="J22"/>
  <c r="J14"/>
  <c r="J6"/>
  <c r="L191"/>
  <c r="L199"/>
  <c r="L183"/>
  <c r="L167"/>
  <c r="L175"/>
  <c r="L159"/>
  <c r="L151"/>
  <c r="L143"/>
  <c r="L135"/>
  <c r="L127"/>
  <c r="L119"/>
  <c r="L111"/>
  <c r="L95"/>
  <c r="L103"/>
  <c r="L79"/>
  <c r="L87"/>
  <c r="L71"/>
  <c r="L63"/>
  <c r="L55"/>
  <c r="L47"/>
  <c r="L39"/>
  <c r="L31"/>
  <c r="L15"/>
  <c r="L23"/>
  <c r="L7"/>
  <c r="L198"/>
  <c r="L190"/>
  <c r="L182"/>
  <c r="L174"/>
  <c r="L166"/>
  <c r="L158"/>
  <c r="L150"/>
  <c r="L142"/>
  <c r="L134"/>
  <c r="L126"/>
  <c r="L118"/>
  <c r="L110"/>
  <c r="L102"/>
  <c r="L94"/>
  <c r="L86"/>
  <c r="L78"/>
  <c r="L70"/>
  <c r="L62"/>
  <c r="L54"/>
  <c r="L46"/>
  <c r="L38"/>
  <c r="L30"/>
  <c r="L22"/>
  <c r="L6"/>
  <c r="L14"/>
  <c r="L196"/>
  <c r="L188"/>
  <c r="L180"/>
  <c r="L172"/>
  <c r="L164"/>
  <c r="L156"/>
  <c r="L148"/>
  <c r="L140"/>
  <c r="L132"/>
  <c r="L124"/>
  <c r="L116"/>
  <c r="L108"/>
  <c r="L100"/>
  <c r="L92"/>
  <c r="L84"/>
  <c r="L76"/>
  <c r="L68"/>
  <c r="L60"/>
  <c r="L52"/>
  <c r="L44"/>
  <c r="L36"/>
  <c r="L28"/>
  <c r="L20"/>
  <c r="L12"/>
  <c r="L4"/>
  <c r="M198"/>
  <c r="T198" s="1"/>
  <c r="M190"/>
  <c r="T190" s="1"/>
  <c r="M182"/>
  <c r="T182" s="1"/>
  <c r="M174"/>
  <c r="T174" s="1"/>
  <c r="M166"/>
  <c r="T166" s="1"/>
  <c r="M158"/>
  <c r="T158" s="1"/>
  <c r="M150"/>
  <c r="T150" s="1"/>
  <c r="M142"/>
  <c r="T142" s="1"/>
  <c r="M134"/>
  <c r="T134" s="1"/>
  <c r="M126"/>
  <c r="T126" s="1"/>
  <c r="M118"/>
  <c r="T118" s="1"/>
  <c r="M110"/>
  <c r="T110" s="1"/>
  <c r="M102"/>
  <c r="T102" s="1"/>
  <c r="M94"/>
  <c r="T94" s="1"/>
  <c r="M86"/>
  <c r="T86" s="1"/>
  <c r="M78"/>
  <c r="T78" s="1"/>
  <c r="M70"/>
  <c r="T70" s="1"/>
  <c r="M62"/>
  <c r="T62" s="1"/>
  <c r="M54"/>
  <c r="T54" s="1"/>
  <c r="M46"/>
  <c r="T46" s="1"/>
  <c r="M38"/>
  <c r="T38" s="1"/>
  <c r="M30"/>
  <c r="T30" s="1"/>
  <c r="M22"/>
  <c r="T22" s="1"/>
  <c r="M14"/>
  <c r="T14" s="1"/>
  <c r="M6"/>
  <c r="T6" s="1"/>
  <c r="K195"/>
  <c r="K187"/>
  <c r="K179"/>
  <c r="K171"/>
  <c r="K163"/>
  <c r="K155"/>
  <c r="K147"/>
  <c r="K139"/>
  <c r="K131"/>
  <c r="K123"/>
  <c r="K115"/>
  <c r="K107"/>
  <c r="K99"/>
  <c r="K91"/>
  <c r="K83"/>
  <c r="K75"/>
  <c r="K67"/>
  <c r="K59"/>
  <c r="K51"/>
  <c r="K43"/>
  <c r="K35"/>
  <c r="K27"/>
  <c r="K11"/>
  <c r="K19"/>
  <c r="K3"/>
  <c r="K197"/>
  <c r="K189"/>
  <c r="K181"/>
  <c r="K173"/>
  <c r="K165"/>
  <c r="K157"/>
  <c r="K149"/>
  <c r="K141"/>
  <c r="K133"/>
  <c r="K125"/>
  <c r="K117"/>
  <c r="K109"/>
  <c r="K101"/>
  <c r="K93"/>
  <c r="K85"/>
  <c r="K77"/>
  <c r="K69"/>
  <c r="K61"/>
  <c r="K53"/>
  <c r="K45"/>
  <c r="K37"/>
  <c r="K29"/>
  <c r="K21"/>
  <c r="K13"/>
  <c r="K5"/>
  <c r="M196"/>
  <c r="T196" s="1"/>
  <c r="M188"/>
  <c r="T188" s="1"/>
  <c r="M180"/>
  <c r="T180" s="1"/>
  <c r="M172"/>
  <c r="T172" s="1"/>
  <c r="M164"/>
  <c r="T164" s="1"/>
  <c r="M156"/>
  <c r="T156" s="1"/>
  <c r="M148"/>
  <c r="T148" s="1"/>
  <c r="M140"/>
  <c r="T140" s="1"/>
  <c r="M132"/>
  <c r="T132" s="1"/>
  <c r="M124"/>
  <c r="T124" s="1"/>
  <c r="M116"/>
  <c r="T116" s="1"/>
  <c r="M108"/>
  <c r="T108" s="1"/>
  <c r="M100"/>
  <c r="T100" s="1"/>
  <c r="M92"/>
  <c r="T92" s="1"/>
  <c r="M84"/>
  <c r="T84" s="1"/>
  <c r="M76"/>
  <c r="T76" s="1"/>
  <c r="M68"/>
  <c r="T68" s="1"/>
  <c r="M60"/>
  <c r="T60" s="1"/>
  <c r="M52"/>
  <c r="T52" s="1"/>
  <c r="M44"/>
  <c r="T44" s="1"/>
  <c r="M36"/>
  <c r="T36" s="1"/>
  <c r="M28"/>
  <c r="T28" s="1"/>
  <c r="M20"/>
  <c r="T20" s="1"/>
  <c r="M12"/>
  <c r="T12" s="1"/>
  <c r="M4"/>
  <c r="T4" s="1"/>
  <c r="J200"/>
  <c r="J192"/>
  <c r="J184"/>
  <c r="J176"/>
  <c r="J168"/>
  <c r="J160"/>
  <c r="J144"/>
  <c r="J152"/>
  <c r="J136"/>
  <c r="J128"/>
  <c r="J120"/>
  <c r="J112"/>
  <c r="J104"/>
  <c r="J96"/>
  <c r="J88"/>
  <c r="J80"/>
  <c r="J72"/>
  <c r="J64"/>
  <c r="J56"/>
  <c r="J48"/>
  <c r="J40"/>
  <c r="J32"/>
  <c r="J24"/>
  <c r="J8"/>
  <c r="J16"/>
  <c r="L195"/>
  <c r="L179"/>
  <c r="L187"/>
  <c r="L171"/>
  <c r="L163"/>
  <c r="L155"/>
  <c r="L139"/>
  <c r="L147"/>
  <c r="L131"/>
  <c r="L123"/>
  <c r="L115"/>
  <c r="L107"/>
  <c r="L99"/>
  <c r="L91"/>
  <c r="L83"/>
  <c r="L75"/>
  <c r="L67"/>
  <c r="L59"/>
  <c r="L51"/>
  <c r="L43"/>
  <c r="L35"/>
  <c r="L27"/>
  <c r="L19"/>
  <c r="L3"/>
  <c r="L11"/>
  <c r="K199"/>
  <c r="K191"/>
  <c r="K183"/>
  <c r="K175"/>
  <c r="K167"/>
  <c r="K159"/>
  <c r="K151"/>
  <c r="K143"/>
  <c r="K135"/>
  <c r="K127"/>
  <c r="K119"/>
  <c r="K111"/>
  <c r="K103"/>
  <c r="K95"/>
  <c r="K87"/>
  <c r="K79"/>
  <c r="K71"/>
  <c r="K63"/>
  <c r="K55"/>
  <c r="K47"/>
  <c r="K39"/>
  <c r="K31"/>
  <c r="K23"/>
  <c r="K15"/>
  <c r="K7"/>
  <c r="M197"/>
  <c r="T197" s="1"/>
  <c r="M189"/>
  <c r="T189" s="1"/>
  <c r="M181"/>
  <c r="T181" s="1"/>
  <c r="M173"/>
  <c r="T173" s="1"/>
  <c r="M165"/>
  <c r="T165" s="1"/>
  <c r="M157"/>
  <c r="T157" s="1"/>
  <c r="M149"/>
  <c r="T149" s="1"/>
  <c r="M141"/>
  <c r="T141" s="1"/>
  <c r="M133"/>
  <c r="T133" s="1"/>
  <c r="M125"/>
  <c r="T125" s="1"/>
  <c r="M117"/>
  <c r="T117" s="1"/>
  <c r="M109"/>
  <c r="T109" s="1"/>
  <c r="M101"/>
  <c r="T101" s="1"/>
  <c r="M93"/>
  <c r="T93" s="1"/>
  <c r="M85"/>
  <c r="T85" s="1"/>
  <c r="M77"/>
  <c r="T77" s="1"/>
  <c r="M69"/>
  <c r="T69" s="1"/>
  <c r="M61"/>
  <c r="T61" s="1"/>
  <c r="M53"/>
  <c r="T53" s="1"/>
  <c r="M45"/>
  <c r="T45" s="1"/>
  <c r="M37"/>
  <c r="T37" s="1"/>
  <c r="M29"/>
  <c r="T29" s="1"/>
  <c r="M21"/>
  <c r="T21" s="1"/>
  <c r="M13"/>
  <c r="T13" s="1"/>
  <c r="M5"/>
  <c r="T5" s="1"/>
  <c r="L200"/>
  <c r="L192"/>
  <c r="L184"/>
  <c r="L176"/>
  <c r="L168"/>
  <c r="L160"/>
  <c r="L152"/>
  <c r="L144"/>
  <c r="L136"/>
  <c r="L128"/>
  <c r="L120"/>
  <c r="L112"/>
  <c r="L104"/>
  <c r="L96"/>
  <c r="L88"/>
  <c r="L80"/>
  <c r="L72"/>
  <c r="L64"/>
  <c r="L56"/>
  <c r="L48"/>
  <c r="L40"/>
  <c r="L32"/>
  <c r="L24"/>
  <c r="L16"/>
  <c r="L8"/>
  <c r="J197"/>
  <c r="J189"/>
  <c r="J181"/>
  <c r="J165"/>
  <c r="J173"/>
  <c r="J149"/>
  <c r="J157"/>
  <c r="J141"/>
  <c r="J133"/>
  <c r="J125"/>
  <c r="J117"/>
  <c r="J109"/>
  <c r="J93"/>
  <c r="J101"/>
  <c r="J77"/>
  <c r="J85"/>
  <c r="J69"/>
  <c r="J61"/>
  <c r="J53"/>
  <c r="J45"/>
  <c r="J37"/>
  <c r="J29"/>
  <c r="J13"/>
  <c r="J21"/>
  <c r="J5"/>
  <c r="M200"/>
  <c r="T200" s="1"/>
  <c r="M192"/>
  <c r="T192" s="1"/>
  <c r="M184"/>
  <c r="T184" s="1"/>
  <c r="M176"/>
  <c r="T176" s="1"/>
  <c r="M168"/>
  <c r="T168" s="1"/>
  <c r="M160"/>
  <c r="T160" s="1"/>
  <c r="M152"/>
  <c r="T152" s="1"/>
  <c r="M144"/>
  <c r="T144" s="1"/>
  <c r="M136"/>
  <c r="T136" s="1"/>
  <c r="M128"/>
  <c r="T128" s="1"/>
  <c r="M120"/>
  <c r="T120" s="1"/>
  <c r="M112"/>
  <c r="T112" s="1"/>
  <c r="M104"/>
  <c r="T104" s="1"/>
  <c r="M96"/>
  <c r="T96" s="1"/>
  <c r="M88"/>
  <c r="T88" s="1"/>
  <c r="M80"/>
  <c r="T80" s="1"/>
  <c r="M72"/>
  <c r="T72" s="1"/>
  <c r="M64"/>
  <c r="T64" s="1"/>
  <c r="M56"/>
  <c r="T56" s="1"/>
  <c r="M48"/>
  <c r="T48" s="1"/>
  <c r="M40"/>
  <c r="T40" s="1"/>
  <c r="M32"/>
  <c r="T32" s="1"/>
  <c r="M24"/>
  <c r="T24" s="1"/>
  <c r="M16"/>
  <c r="T16" s="1"/>
  <c r="M8"/>
  <c r="T8" s="1"/>
  <c r="K196"/>
  <c r="K188"/>
  <c r="K180"/>
  <c r="K172"/>
  <c r="K164"/>
  <c r="K156"/>
  <c r="K148"/>
  <c r="K140"/>
  <c r="K132"/>
  <c r="K124"/>
  <c r="K116"/>
  <c r="K108"/>
  <c r="K100"/>
  <c r="K92"/>
  <c r="K84"/>
  <c r="K76"/>
  <c r="K68"/>
  <c r="K60"/>
  <c r="K52"/>
  <c r="K44"/>
  <c r="K36"/>
  <c r="K28"/>
  <c r="K20"/>
  <c r="K12"/>
  <c r="K4"/>
  <c r="J199"/>
  <c r="J191"/>
  <c r="J183"/>
  <c r="J167"/>
  <c r="J175"/>
  <c r="J151"/>
  <c r="J159"/>
  <c r="J143"/>
  <c r="J135"/>
  <c r="J127"/>
  <c r="J119"/>
  <c r="J111"/>
  <c r="J95"/>
  <c r="J103"/>
  <c r="J79"/>
  <c r="J87"/>
  <c r="J71"/>
  <c r="J63"/>
  <c r="J55"/>
  <c r="J47"/>
  <c r="J39"/>
  <c r="J31"/>
  <c r="J15"/>
  <c r="J23"/>
  <c r="J7"/>
  <c r="M199"/>
  <c r="T199" s="1"/>
  <c r="M191"/>
  <c r="T191" s="1"/>
  <c r="M183"/>
  <c r="T183" s="1"/>
  <c r="M175"/>
  <c r="T175" s="1"/>
  <c r="M167"/>
  <c r="T167" s="1"/>
  <c r="M159"/>
  <c r="T159" s="1"/>
  <c r="M151"/>
  <c r="T151" s="1"/>
  <c r="M143"/>
  <c r="T143" s="1"/>
  <c r="M135"/>
  <c r="T135" s="1"/>
  <c r="M127"/>
  <c r="T127" s="1"/>
  <c r="M119"/>
  <c r="T119" s="1"/>
  <c r="M111"/>
  <c r="T111" s="1"/>
  <c r="M103"/>
  <c r="T103" s="1"/>
  <c r="M95"/>
  <c r="T95" s="1"/>
  <c r="M87"/>
  <c r="T87" s="1"/>
  <c r="M79"/>
  <c r="T79" s="1"/>
  <c r="M71"/>
  <c r="T71" s="1"/>
  <c r="M63"/>
  <c r="T63" s="1"/>
  <c r="M55"/>
  <c r="T55" s="1"/>
  <c r="M47"/>
  <c r="T47" s="1"/>
  <c r="M39"/>
  <c r="T39" s="1"/>
  <c r="M31"/>
  <c r="T31" s="1"/>
  <c r="M23"/>
  <c r="T23" s="1"/>
  <c r="M15"/>
  <c r="T15" s="1"/>
  <c r="M7"/>
  <c r="T7" s="1"/>
  <c r="K198"/>
  <c r="K190"/>
  <c r="K182"/>
  <c r="K174"/>
  <c r="K166"/>
  <c r="K158"/>
  <c r="K150"/>
  <c r="K142"/>
  <c r="K134"/>
  <c r="K126"/>
  <c r="K118"/>
  <c r="K110"/>
  <c r="K102"/>
  <c r="K94"/>
  <c r="K86"/>
  <c r="K78"/>
  <c r="K70"/>
  <c r="K62"/>
  <c r="K54"/>
  <c r="K46"/>
  <c r="K38"/>
  <c r="K30"/>
  <c r="K22"/>
  <c r="K14"/>
  <c r="K6"/>
  <c r="M195"/>
  <c r="T195" s="1"/>
  <c r="M187"/>
  <c r="T187" s="1"/>
  <c r="M179"/>
  <c r="T179" s="1"/>
  <c r="M171"/>
  <c r="T171" s="1"/>
  <c r="M163"/>
  <c r="T163" s="1"/>
  <c r="M155"/>
  <c r="T155" s="1"/>
  <c r="M147"/>
  <c r="T147" s="1"/>
  <c r="M139"/>
  <c r="T139" s="1"/>
  <c r="M131"/>
  <c r="T131" s="1"/>
  <c r="M123"/>
  <c r="T123" s="1"/>
  <c r="M115"/>
  <c r="T115" s="1"/>
  <c r="M107"/>
  <c r="T107" s="1"/>
  <c r="M99"/>
  <c r="T99" s="1"/>
  <c r="M91"/>
  <c r="T91" s="1"/>
  <c r="M83"/>
  <c r="T83" s="1"/>
  <c r="M75"/>
  <c r="T75" s="1"/>
  <c r="M67"/>
  <c r="T67" s="1"/>
  <c r="M59"/>
  <c r="T59" s="1"/>
  <c r="M51"/>
  <c r="T51" s="1"/>
  <c r="M43"/>
  <c r="T43" s="1"/>
  <c r="M35"/>
  <c r="T35" s="1"/>
  <c r="M27"/>
  <c r="T27" s="1"/>
  <c r="M19"/>
  <c r="T19" s="1"/>
  <c r="M11"/>
  <c r="T11" s="1"/>
  <c r="M3"/>
  <c r="T3" s="1"/>
  <c r="K200"/>
  <c r="K192"/>
  <c r="K184"/>
  <c r="K176"/>
  <c r="K168"/>
  <c r="K160"/>
  <c r="K152"/>
  <c r="K144"/>
  <c r="K136"/>
  <c r="K128"/>
  <c r="K120"/>
  <c r="K112"/>
  <c r="K104"/>
  <c r="K96"/>
  <c r="K88"/>
  <c r="K80"/>
  <c r="K72"/>
  <c r="K64"/>
  <c r="K56"/>
  <c r="K48"/>
  <c r="K40"/>
  <c r="K32"/>
  <c r="K24"/>
  <c r="K16"/>
  <c r="K8"/>
  <c r="J195"/>
  <c r="J187"/>
  <c r="J179"/>
  <c r="J171"/>
  <c r="J163"/>
  <c r="J155"/>
  <c r="J139"/>
  <c r="J147"/>
  <c r="J131"/>
  <c r="J123"/>
  <c r="J115"/>
  <c r="J107"/>
  <c r="J99"/>
  <c r="J83"/>
  <c r="J91"/>
  <c r="J67"/>
  <c r="J75"/>
  <c r="J59"/>
  <c r="J51"/>
  <c r="J43"/>
  <c r="J35"/>
  <c r="J27"/>
  <c r="J19"/>
  <c r="J11"/>
  <c r="J3"/>
  <c r="J196"/>
  <c r="J188"/>
  <c r="J180"/>
  <c r="J172"/>
  <c r="J156"/>
  <c r="J164"/>
  <c r="J140"/>
  <c r="J148"/>
  <c r="J132"/>
  <c r="J124"/>
  <c r="J116"/>
  <c r="J108"/>
  <c r="J100"/>
  <c r="J84"/>
  <c r="J92"/>
  <c r="J68"/>
  <c r="J76"/>
  <c r="J60"/>
  <c r="J52"/>
  <c r="J44"/>
  <c r="J36"/>
  <c r="J28"/>
  <c r="J20"/>
  <c r="J4"/>
  <c r="J12"/>
  <c r="P7" i="7"/>
  <c r="P12"/>
  <c r="P9"/>
  <c r="P10"/>
  <c r="P11"/>
  <c r="P8"/>
  <c r="P2"/>
  <c r="P3"/>
  <c r="P4"/>
  <c r="P5"/>
  <c r="P6"/>
  <c r="P9" i="9"/>
  <c r="P10"/>
  <c r="P11"/>
  <c r="P12"/>
  <c r="P7"/>
  <c r="P8"/>
  <c r="P2"/>
  <c r="P3"/>
  <c r="P4"/>
  <c r="P5"/>
  <c r="P6"/>
  <c r="P9" i="10"/>
  <c r="P10"/>
  <c r="P11"/>
  <c r="P12"/>
  <c r="P7"/>
  <c r="P8"/>
  <c r="P2"/>
  <c r="P3"/>
  <c r="P4"/>
  <c r="P5"/>
  <c r="P6"/>
  <c r="Q7" i="5"/>
  <c r="Q11"/>
  <c r="Q12"/>
  <c r="Q9"/>
  <c r="Q10"/>
  <c r="Q8"/>
  <c r="Q2"/>
  <c r="Q3"/>
  <c r="Q4"/>
  <c r="Q5"/>
  <c r="Q6"/>
  <c r="P9" i="6"/>
  <c r="P10"/>
  <c r="P11"/>
  <c r="P12"/>
  <c r="P7"/>
  <c r="P8"/>
  <c r="P3"/>
  <c r="P4"/>
  <c r="P5"/>
  <c r="P6"/>
  <c r="P2"/>
  <c r="P9" i="8"/>
  <c r="P10"/>
  <c r="P8"/>
  <c r="P7"/>
  <c r="P11"/>
  <c r="P12"/>
  <c r="P2"/>
  <c r="P3"/>
  <c r="P4"/>
  <c r="P5"/>
  <c r="P6"/>
  <c r="Q9" i="10"/>
  <c r="Q10"/>
  <c r="Q8"/>
  <c r="Q7"/>
  <c r="Q11"/>
  <c r="Q12"/>
  <c r="Q3"/>
  <c r="Q4"/>
  <c r="Q5"/>
  <c r="Q6"/>
  <c r="Q2"/>
  <c r="O7" i="11"/>
  <c r="O11"/>
  <c r="O12"/>
  <c r="O9"/>
  <c r="O10"/>
  <c r="O8"/>
  <c r="O2"/>
  <c r="O3"/>
  <c r="O4"/>
  <c r="O5"/>
  <c r="O6"/>
  <c r="N10" i="5"/>
  <c r="N11"/>
  <c r="N8"/>
  <c r="N12"/>
  <c r="N9"/>
  <c r="N7"/>
  <c r="N2"/>
  <c r="N3"/>
  <c r="N4"/>
  <c r="N5"/>
  <c r="N6"/>
  <c r="Q7" i="6"/>
  <c r="Q8"/>
  <c r="Q11"/>
  <c r="Q9"/>
  <c r="Q12"/>
  <c r="Q10"/>
  <c r="Q2"/>
  <c r="Q3"/>
  <c r="Q4"/>
  <c r="Q5"/>
  <c r="Q6"/>
  <c r="N7" i="7"/>
  <c r="N11"/>
  <c r="N12"/>
  <c r="N10"/>
  <c r="N8"/>
  <c r="N9"/>
  <c r="N3"/>
  <c r="N4"/>
  <c r="N5"/>
  <c r="N6"/>
  <c r="N2"/>
  <c r="O7" i="8"/>
  <c r="O11"/>
  <c r="O12"/>
  <c r="O9"/>
  <c r="O10"/>
  <c r="O8"/>
  <c r="O3"/>
  <c r="O4"/>
  <c r="O5"/>
  <c r="O6"/>
  <c r="O2"/>
  <c r="N7" i="9"/>
  <c r="N11"/>
  <c r="N8"/>
  <c r="N9"/>
  <c r="N10"/>
  <c r="N12"/>
  <c r="N3"/>
  <c r="N4"/>
  <c r="N5"/>
  <c r="N6"/>
  <c r="N2"/>
  <c r="O7" i="5"/>
  <c r="O11"/>
  <c r="O12"/>
  <c r="O9"/>
  <c r="O10"/>
  <c r="O8"/>
  <c r="O3"/>
  <c r="O4"/>
  <c r="O5"/>
  <c r="O6"/>
  <c r="O2"/>
  <c r="Q7" i="9"/>
  <c r="Q11"/>
  <c r="Q12"/>
  <c r="Q9"/>
  <c r="Q10"/>
  <c r="Q8"/>
  <c r="Q2"/>
  <c r="Q3"/>
  <c r="Q4"/>
  <c r="Q5"/>
  <c r="Q6"/>
  <c r="O7" i="10"/>
  <c r="O11"/>
  <c r="O12"/>
  <c r="O9"/>
  <c r="O10"/>
  <c r="O8"/>
  <c r="O2"/>
  <c r="O3"/>
  <c r="O4"/>
  <c r="O5"/>
  <c r="O6"/>
  <c r="P8" i="5"/>
  <c r="P9"/>
  <c r="P12"/>
  <c r="P7"/>
  <c r="P10"/>
  <c r="P11"/>
  <c r="P2"/>
  <c r="P3"/>
  <c r="P4"/>
  <c r="P5"/>
  <c r="P6"/>
  <c r="Q9" i="8"/>
  <c r="Q10"/>
  <c r="Q8"/>
  <c r="Q7"/>
  <c r="Q11"/>
  <c r="Q12"/>
  <c r="Q2"/>
  <c r="Q3"/>
  <c r="Q4"/>
  <c r="Q5"/>
  <c r="Q6"/>
  <c r="N7" i="6"/>
  <c r="N11"/>
  <c r="N12"/>
  <c r="N9"/>
  <c r="N10"/>
  <c r="N8"/>
  <c r="N3"/>
  <c r="N4"/>
  <c r="N5"/>
  <c r="N6"/>
  <c r="N2"/>
  <c r="Q9" i="7"/>
  <c r="Q10"/>
  <c r="Q8"/>
  <c r="Q7"/>
  <c r="Q11"/>
  <c r="Q12"/>
  <c r="Q3"/>
  <c r="Q4"/>
  <c r="Q5"/>
  <c r="Q6"/>
  <c r="Q2"/>
  <c r="Q9" i="11"/>
  <c r="Q10"/>
  <c r="Q8"/>
  <c r="Q7"/>
  <c r="Q11"/>
  <c r="Q12"/>
  <c r="Q2"/>
  <c r="Q3"/>
  <c r="Q4"/>
  <c r="Q5"/>
  <c r="Q6"/>
  <c r="O10" i="6"/>
  <c r="O8"/>
  <c r="O7"/>
  <c r="O9"/>
  <c r="O11"/>
  <c r="O12"/>
  <c r="O3"/>
  <c r="O4"/>
  <c r="O5"/>
  <c r="O6"/>
  <c r="O2"/>
  <c r="N7" i="10"/>
  <c r="N11"/>
  <c r="N8"/>
  <c r="N9"/>
  <c r="N10"/>
  <c r="N12"/>
  <c r="N3"/>
  <c r="N4"/>
  <c r="N5"/>
  <c r="N6"/>
  <c r="N2"/>
  <c r="N10" i="11"/>
  <c r="N8"/>
  <c r="N12"/>
  <c r="N7"/>
  <c r="N11"/>
  <c r="N9"/>
  <c r="N3"/>
  <c r="N4"/>
  <c r="N5"/>
  <c r="N6"/>
  <c r="N2"/>
  <c r="P7"/>
  <c r="P12"/>
  <c r="P9"/>
  <c r="P10"/>
  <c r="P11"/>
  <c r="P8"/>
  <c r="P2"/>
  <c r="P3"/>
  <c r="P4"/>
  <c r="P5"/>
  <c r="P6"/>
  <c r="O10" i="7"/>
  <c r="O8"/>
  <c r="O7"/>
  <c r="O11"/>
  <c r="O12"/>
  <c r="O9"/>
  <c r="O3"/>
  <c r="O4"/>
  <c r="O5"/>
  <c r="O6"/>
  <c r="O2"/>
  <c r="N7" i="8"/>
  <c r="N11"/>
  <c r="N8"/>
  <c r="N9"/>
  <c r="N10"/>
  <c r="N12"/>
  <c r="N3"/>
  <c r="N4"/>
  <c r="N5"/>
  <c r="N6"/>
  <c r="N2"/>
  <c r="O10" i="9"/>
  <c r="O8"/>
  <c r="O7"/>
  <c r="O11"/>
  <c r="O12"/>
  <c r="O9"/>
  <c r="O3"/>
  <c r="O4"/>
  <c r="O5"/>
  <c r="O6"/>
  <c r="O2"/>
  <c r="O195" i="13" l="1"/>
  <c r="O163"/>
  <c r="O67"/>
  <c r="R67" l="1"/>
  <c r="Q67"/>
  <c r="S195"/>
  <c r="R195"/>
  <c r="R163"/>
  <c r="S163"/>
  <c r="S67"/>
  <c r="Q163"/>
  <c r="Q195"/>
  <c r="O147"/>
  <c r="R147" s="1"/>
  <c r="O123"/>
  <c r="O2"/>
  <c r="S2" s="1"/>
  <c r="O150"/>
  <c r="O76"/>
  <c r="Q76" s="1"/>
  <c r="O70"/>
  <c r="O170"/>
  <c r="Q170" s="1"/>
  <c r="O131"/>
  <c r="Q131" s="1"/>
  <c r="O138"/>
  <c r="Q138" s="1"/>
  <c r="O133"/>
  <c r="Q133" s="1"/>
  <c r="O102"/>
  <c r="Q102" s="1"/>
  <c r="O93"/>
  <c r="Q93" s="1"/>
  <c r="O77"/>
  <c r="Q77" s="1"/>
  <c r="O12"/>
  <c r="O18"/>
  <c r="O157"/>
  <c r="O144"/>
  <c r="R144" s="1"/>
  <c r="O146"/>
  <c r="O120"/>
  <c r="S120" s="1"/>
  <c r="O128"/>
  <c r="S128" s="1"/>
  <c r="O90"/>
  <c r="Q90" s="1"/>
  <c r="O53"/>
  <c r="R53" s="1"/>
  <c r="O23"/>
  <c r="O149"/>
  <c r="Q149" s="1"/>
  <c r="O183"/>
  <c r="O190"/>
  <c r="S190" s="1"/>
  <c r="O118"/>
  <c r="R118" s="1"/>
  <c r="O101"/>
  <c r="R101" s="1"/>
  <c r="O91"/>
  <c r="R91" s="1"/>
  <c r="O83"/>
  <c r="R83" s="1"/>
  <c r="O37"/>
  <c r="Q37" s="1"/>
  <c r="O168"/>
  <c r="S168" s="1"/>
  <c r="O181"/>
  <c r="S181" s="1"/>
  <c r="O103"/>
  <c r="R103" s="1"/>
  <c r="O58"/>
  <c r="R58" s="1"/>
  <c r="O16"/>
  <c r="R16" s="1"/>
  <c r="O135"/>
  <c r="Q135" s="1"/>
  <c r="O116"/>
  <c r="Q116" s="1"/>
  <c r="O132"/>
  <c r="S132" s="1"/>
  <c r="O126"/>
  <c r="Q126" s="1"/>
  <c r="O111"/>
  <c r="Q111" s="1"/>
  <c r="O94"/>
  <c r="Q94" s="1"/>
  <c r="O92"/>
  <c r="Q92" s="1"/>
  <c r="O88"/>
  <c r="Q88" s="1"/>
  <c r="O74"/>
  <c r="Q74" s="1"/>
  <c r="O78"/>
  <c r="Q78" s="1"/>
  <c r="O62"/>
  <c r="Q62" s="1"/>
  <c r="O47"/>
  <c r="Q47" s="1"/>
  <c r="O45"/>
  <c r="Q45" s="1"/>
  <c r="O40"/>
  <c r="R40" s="1"/>
  <c r="O156"/>
  <c r="O162"/>
  <c r="R162" s="1"/>
  <c r="O199"/>
  <c r="Q199" s="1"/>
  <c r="O130"/>
  <c r="Q130" s="1"/>
  <c r="O117"/>
  <c r="Q117" s="1"/>
  <c r="O125"/>
  <c r="Q125" s="1"/>
  <c r="O106"/>
  <c r="R106" s="1"/>
  <c r="O96"/>
  <c r="Q96" s="1"/>
  <c r="O86"/>
  <c r="S86" s="1"/>
  <c r="O79"/>
  <c r="R79" s="1"/>
  <c r="O14"/>
  <c r="Q14" s="1"/>
  <c r="O159"/>
  <c r="Q159" s="1"/>
  <c r="O176"/>
  <c r="Q176" s="1"/>
  <c r="O172"/>
  <c r="Q172" s="1"/>
  <c r="O197"/>
  <c r="Q197" s="1"/>
  <c r="O84"/>
  <c r="S84" s="1"/>
  <c r="O152"/>
  <c r="R152" s="1"/>
  <c r="O164"/>
  <c r="R164" s="1"/>
  <c r="O188"/>
  <c r="R188" s="1"/>
  <c r="O136"/>
  <c r="S136" s="1"/>
  <c r="O143"/>
  <c r="R143" s="1"/>
  <c r="O119"/>
  <c r="R119" s="1"/>
  <c r="O95"/>
  <c r="S95" s="1"/>
  <c r="O85"/>
  <c r="R85" s="1"/>
  <c r="O55"/>
  <c r="R55" s="1"/>
  <c r="O50"/>
  <c r="S50" s="1"/>
  <c r="O28"/>
  <c r="R28" s="1"/>
  <c r="O34"/>
  <c r="S34" s="1"/>
  <c r="O15"/>
  <c r="R15" s="1"/>
  <c r="O192"/>
  <c r="S192" s="1"/>
  <c r="O154"/>
  <c r="S154" s="1"/>
  <c r="O127"/>
  <c r="S127" s="1"/>
  <c r="O107"/>
  <c r="S107" s="1"/>
  <c r="O87"/>
  <c r="R87" s="1"/>
  <c r="O72"/>
  <c r="O69"/>
  <c r="S69" s="1"/>
  <c r="O44"/>
  <c r="Q44" s="1"/>
  <c r="O42"/>
  <c r="S42" s="1"/>
  <c r="O20"/>
  <c r="Q20" s="1"/>
  <c r="O160"/>
  <c r="S160" s="1"/>
  <c r="O174"/>
  <c r="R174" s="1"/>
  <c r="O196"/>
  <c r="S196" s="1"/>
  <c r="O180"/>
  <c r="S180" s="1"/>
  <c r="O35"/>
  <c r="S35" s="1"/>
  <c r="O11"/>
  <c r="S11" s="1"/>
  <c r="O171"/>
  <c r="R171" s="1"/>
  <c r="O182"/>
  <c r="S182" s="1"/>
  <c r="O189"/>
  <c r="R189" s="1"/>
  <c r="O194"/>
  <c r="S194" s="1"/>
  <c r="O139"/>
  <c r="S139" s="1"/>
  <c r="O75"/>
  <c r="O64"/>
  <c r="S64" s="1"/>
  <c r="O66"/>
  <c r="S66" s="1"/>
  <c r="O52"/>
  <c r="S52" s="1"/>
  <c r="O56"/>
  <c r="S56" s="1"/>
  <c r="O46"/>
  <c r="R46" s="1"/>
  <c r="O36"/>
  <c r="S36" s="1"/>
  <c r="O43"/>
  <c r="R43" s="1"/>
  <c r="O32"/>
  <c r="R32" s="1"/>
  <c r="O31"/>
  <c r="S31" s="1"/>
  <c r="O21"/>
  <c r="S21" s="1"/>
  <c r="O22"/>
  <c r="R22" s="1"/>
  <c r="O198"/>
  <c r="O124"/>
  <c r="O155"/>
  <c r="O141"/>
  <c r="O122"/>
  <c r="O109"/>
  <c r="O98"/>
  <c r="O80"/>
  <c r="O51"/>
  <c r="O39"/>
  <c r="O30"/>
  <c r="S30" s="1"/>
  <c r="O13"/>
  <c r="R13" s="1"/>
  <c r="O167"/>
  <c r="S167" s="1"/>
  <c r="O166"/>
  <c r="O175"/>
  <c r="O173"/>
  <c r="O148"/>
  <c r="R148" s="1"/>
  <c r="O191"/>
  <c r="R191" s="1"/>
  <c r="O178"/>
  <c r="R178" s="1"/>
  <c r="O186"/>
  <c r="O112"/>
  <c r="R112" s="1"/>
  <c r="O61"/>
  <c r="S61" s="1"/>
  <c r="O158"/>
  <c r="R158" s="1"/>
  <c r="O114"/>
  <c r="S114" s="1"/>
  <c r="O108"/>
  <c r="Q108" s="1"/>
  <c r="O54"/>
  <c r="Q54" s="1"/>
  <c r="O48"/>
  <c r="S48" s="1"/>
  <c r="O27"/>
  <c r="O10"/>
  <c r="Q10" s="1"/>
  <c r="O165"/>
  <c r="R165" s="1"/>
  <c r="O142"/>
  <c r="R142" s="1"/>
  <c r="O110"/>
  <c r="S110" s="1"/>
  <c r="O104"/>
  <c r="S104" s="1"/>
  <c r="O82"/>
  <c r="S82" s="1"/>
  <c r="O63"/>
  <c r="S63" s="1"/>
  <c r="O60"/>
  <c r="Q60" s="1"/>
  <c r="O26"/>
  <c r="Q26" s="1"/>
  <c r="O24"/>
  <c r="R24" s="1"/>
  <c r="O184"/>
  <c r="S184" s="1"/>
  <c r="O200"/>
  <c r="S200" s="1"/>
  <c r="O187"/>
  <c r="Q187" s="1"/>
  <c r="O134"/>
  <c r="Q134" s="1"/>
  <c r="O151"/>
  <c r="S151" s="1"/>
  <c r="O140"/>
  <c r="R140" s="1"/>
  <c r="O115"/>
  <c r="Q115" s="1"/>
  <c r="O71"/>
  <c r="R71" s="1"/>
  <c r="O59"/>
  <c r="R59" s="1"/>
  <c r="O29"/>
  <c r="S29" s="1"/>
  <c r="O19"/>
  <c r="Q19" s="1"/>
  <c r="O179"/>
  <c r="R179" s="1"/>
  <c r="O100"/>
  <c r="S100" s="1"/>
  <c r="O68"/>
  <c r="S68" s="1"/>
  <c r="O38"/>
  <c r="Q38" s="1"/>
  <c r="O99"/>
  <c r="R99" s="1"/>
  <c r="U195" l="1"/>
  <c r="U67"/>
  <c r="V67" s="1"/>
  <c r="U163"/>
  <c r="S60"/>
  <c r="Q91"/>
  <c r="Q101"/>
  <c r="Q118"/>
  <c r="Q190"/>
  <c r="R68"/>
  <c r="R64"/>
  <c r="S140"/>
  <c r="R31"/>
  <c r="R180"/>
  <c r="Q180"/>
  <c r="Q42"/>
  <c r="Q34"/>
  <c r="Q28"/>
  <c r="Q50"/>
  <c r="Q55"/>
  <c r="Q85"/>
  <c r="Q95"/>
  <c r="Q119"/>
  <c r="Q143"/>
  <c r="Q136"/>
  <c r="R136"/>
  <c r="R29"/>
  <c r="R200"/>
  <c r="R110"/>
  <c r="S46"/>
  <c r="S189"/>
  <c r="Q79"/>
  <c r="Q86"/>
  <c r="Q106"/>
  <c r="Q162"/>
  <c r="Q181"/>
  <c r="Q168"/>
  <c r="Q83"/>
  <c r="Q53"/>
  <c r="Q128"/>
  <c r="Q144"/>
  <c r="S40"/>
  <c r="Q2"/>
  <c r="S71"/>
  <c r="R134"/>
  <c r="S24"/>
  <c r="R82"/>
  <c r="S165"/>
  <c r="Q48"/>
  <c r="Q71"/>
  <c r="S22"/>
  <c r="S43"/>
  <c r="R52"/>
  <c r="S171"/>
  <c r="Q188"/>
  <c r="Q164"/>
  <c r="Q152"/>
  <c r="Q40"/>
  <c r="Q132"/>
  <c r="S58"/>
  <c r="R2"/>
  <c r="S51"/>
  <c r="R51"/>
  <c r="S98"/>
  <c r="R98"/>
  <c r="R122"/>
  <c r="S122"/>
  <c r="S141"/>
  <c r="R141"/>
  <c r="S124"/>
  <c r="R124"/>
  <c r="S72"/>
  <c r="R72"/>
  <c r="R156"/>
  <c r="S156"/>
  <c r="R183"/>
  <c r="S183"/>
  <c r="R23"/>
  <c r="S23"/>
  <c r="S146"/>
  <c r="R146"/>
  <c r="S157"/>
  <c r="R157"/>
  <c r="S18"/>
  <c r="R18"/>
  <c r="R12"/>
  <c r="S12"/>
  <c r="S70"/>
  <c r="R70"/>
  <c r="S150"/>
  <c r="R150"/>
  <c r="Q123"/>
  <c r="S123"/>
  <c r="Q100"/>
  <c r="S158"/>
  <c r="R184"/>
  <c r="S13"/>
  <c r="Q59"/>
  <c r="Q151"/>
  <c r="Q189"/>
  <c r="Q63"/>
  <c r="Q104"/>
  <c r="R107"/>
  <c r="S134"/>
  <c r="S38"/>
  <c r="R60"/>
  <c r="Q22"/>
  <c r="Q43"/>
  <c r="Q52"/>
  <c r="Q194"/>
  <c r="Q171"/>
  <c r="Q165"/>
  <c r="R196"/>
  <c r="S191"/>
  <c r="R10"/>
  <c r="R69"/>
  <c r="R108"/>
  <c r="R151"/>
  <c r="S15"/>
  <c r="R34"/>
  <c r="S26"/>
  <c r="R63"/>
  <c r="Q84"/>
  <c r="Q184"/>
  <c r="R100"/>
  <c r="Q142"/>
  <c r="S10"/>
  <c r="S108"/>
  <c r="R127"/>
  <c r="Q32"/>
  <c r="Q56"/>
  <c r="R181"/>
  <c r="S174"/>
  <c r="S178"/>
  <c r="R168"/>
  <c r="R160"/>
  <c r="R187"/>
  <c r="S162"/>
  <c r="R154"/>
  <c r="R190"/>
  <c r="S28"/>
  <c r="R61"/>
  <c r="S85"/>
  <c r="R95"/>
  <c r="S112"/>
  <c r="R128"/>
  <c r="S119"/>
  <c r="R132"/>
  <c r="R120"/>
  <c r="S143"/>
  <c r="S188"/>
  <c r="S27"/>
  <c r="R27"/>
  <c r="S186"/>
  <c r="R186"/>
  <c r="R173"/>
  <c r="S173"/>
  <c r="S175"/>
  <c r="R175"/>
  <c r="S166"/>
  <c r="R166"/>
  <c r="S39"/>
  <c r="R39"/>
  <c r="R80"/>
  <c r="S80"/>
  <c r="S109"/>
  <c r="R109"/>
  <c r="S155"/>
  <c r="R155"/>
  <c r="S198"/>
  <c r="R198"/>
  <c r="S75"/>
  <c r="Q75"/>
  <c r="Q99"/>
  <c r="S99"/>
  <c r="S179"/>
  <c r="Q179"/>
  <c r="R54"/>
  <c r="S54"/>
  <c r="R139"/>
  <c r="Q139"/>
  <c r="R35"/>
  <c r="Q35"/>
  <c r="R20"/>
  <c r="S20"/>
  <c r="R44"/>
  <c r="U44" s="1"/>
  <c r="S44"/>
  <c r="S197"/>
  <c r="R197"/>
  <c r="U197" s="1"/>
  <c r="R172"/>
  <c r="U172" s="1"/>
  <c r="S172"/>
  <c r="S176"/>
  <c r="R176"/>
  <c r="U176" s="1"/>
  <c r="R159"/>
  <c r="U159" s="1"/>
  <c r="S159"/>
  <c r="S14"/>
  <c r="R14"/>
  <c r="S96"/>
  <c r="R96"/>
  <c r="S125"/>
  <c r="R125"/>
  <c r="S117"/>
  <c r="R117"/>
  <c r="R130"/>
  <c r="S130"/>
  <c r="R199"/>
  <c r="U199" s="1"/>
  <c r="S199"/>
  <c r="R45"/>
  <c r="S45"/>
  <c r="S47"/>
  <c r="R47"/>
  <c r="R62"/>
  <c r="S62"/>
  <c r="S78"/>
  <c r="R78"/>
  <c r="S74"/>
  <c r="R74"/>
  <c r="S88"/>
  <c r="R88"/>
  <c r="R92"/>
  <c r="S92"/>
  <c r="R94"/>
  <c r="S94"/>
  <c r="S111"/>
  <c r="R111"/>
  <c r="U111" s="1"/>
  <c r="S126"/>
  <c r="R126"/>
  <c r="R116"/>
  <c r="S116"/>
  <c r="S135"/>
  <c r="R135"/>
  <c r="S37"/>
  <c r="R37"/>
  <c r="S149"/>
  <c r="R149"/>
  <c r="R90"/>
  <c r="S90"/>
  <c r="S77"/>
  <c r="R77"/>
  <c r="S93"/>
  <c r="R93"/>
  <c r="U93" s="1"/>
  <c r="R102"/>
  <c r="U102" s="1"/>
  <c r="S102"/>
  <c r="R133"/>
  <c r="S133"/>
  <c r="R138"/>
  <c r="U138" s="1"/>
  <c r="S138"/>
  <c r="R131"/>
  <c r="S131"/>
  <c r="S170"/>
  <c r="R170"/>
  <c r="S76"/>
  <c r="R76"/>
  <c r="U76" s="1"/>
  <c r="Q147"/>
  <c r="S147"/>
  <c r="R19"/>
  <c r="R38"/>
  <c r="U38" s="1"/>
  <c r="S19"/>
  <c r="S59"/>
  <c r="S115"/>
  <c r="S187"/>
  <c r="R26"/>
  <c r="R104"/>
  <c r="S142"/>
  <c r="Q27"/>
  <c r="Q29"/>
  <c r="Q114"/>
  <c r="Q158"/>
  <c r="Q61"/>
  <c r="Q82"/>
  <c r="Q112"/>
  <c r="Q186"/>
  <c r="Q178"/>
  <c r="Q191"/>
  <c r="Q148"/>
  <c r="Q173"/>
  <c r="Q175"/>
  <c r="Q166"/>
  <c r="Q167"/>
  <c r="Q13"/>
  <c r="Q30"/>
  <c r="Q39"/>
  <c r="Q51"/>
  <c r="Q80"/>
  <c r="Q98"/>
  <c r="Q109"/>
  <c r="Q122"/>
  <c r="Q141"/>
  <c r="Q155"/>
  <c r="Q124"/>
  <c r="Q198"/>
  <c r="R21"/>
  <c r="S32"/>
  <c r="R36"/>
  <c r="R56"/>
  <c r="R66"/>
  <c r="R75"/>
  <c r="R194"/>
  <c r="R182"/>
  <c r="R167"/>
  <c r="R11"/>
  <c r="Q196"/>
  <c r="Q174"/>
  <c r="Q160"/>
  <c r="Q69"/>
  <c r="Q72"/>
  <c r="Q87"/>
  <c r="Q107"/>
  <c r="Q127"/>
  <c r="Q140"/>
  <c r="Q154"/>
  <c r="Q200"/>
  <c r="Q192"/>
  <c r="Q15"/>
  <c r="Q24"/>
  <c r="Q68"/>
  <c r="Q110"/>
  <c r="R84"/>
  <c r="Q31"/>
  <c r="Q46"/>
  <c r="Q64"/>
  <c r="Q182"/>
  <c r="Q156"/>
  <c r="Q11"/>
  <c r="R42"/>
  <c r="R48"/>
  <c r="S148"/>
  <c r="R192"/>
  <c r="S16"/>
  <c r="S103"/>
  <c r="Q183"/>
  <c r="Q16"/>
  <c r="Q23"/>
  <c r="Q120"/>
  <c r="Q146"/>
  <c r="Q157"/>
  <c r="Q18"/>
  <c r="Q12"/>
  <c r="Q21"/>
  <c r="Q36"/>
  <c r="Q66"/>
  <c r="Q58"/>
  <c r="Q70"/>
  <c r="Q103"/>
  <c r="Q150"/>
  <c r="S79"/>
  <c r="S83"/>
  <c r="R86"/>
  <c r="S87"/>
  <c r="S91"/>
  <c r="S101"/>
  <c r="S106"/>
  <c r="R115"/>
  <c r="R114"/>
  <c r="R123"/>
  <c r="S118"/>
  <c r="R30"/>
  <c r="R50"/>
  <c r="S53"/>
  <c r="S55"/>
  <c r="S164"/>
  <c r="S144"/>
  <c r="S152"/>
  <c r="AA67" l="1"/>
  <c r="U2"/>
  <c r="U187"/>
  <c r="U134"/>
  <c r="U170"/>
  <c r="U88"/>
  <c r="U47"/>
  <c r="U131"/>
  <c r="U133"/>
  <c r="U90"/>
  <c r="U116"/>
  <c r="U130"/>
  <c r="U20"/>
  <c r="U103"/>
  <c r="U36"/>
  <c r="U157"/>
  <c r="U16"/>
  <c r="U11"/>
  <c r="U46"/>
  <c r="U68"/>
  <c r="U200"/>
  <c r="U107"/>
  <c r="U160"/>
  <c r="U141"/>
  <c r="U80"/>
  <c r="U13"/>
  <c r="U173"/>
  <c r="U186"/>
  <c r="U158"/>
  <c r="U184"/>
  <c r="U165"/>
  <c r="U43"/>
  <c r="U189"/>
  <c r="U123"/>
  <c r="U164"/>
  <c r="U128"/>
  <c r="U181"/>
  <c r="U79"/>
  <c r="U143"/>
  <c r="U55"/>
  <c r="U42"/>
  <c r="U118"/>
  <c r="U37"/>
  <c r="U62"/>
  <c r="U94"/>
  <c r="U45"/>
  <c r="U14"/>
  <c r="U10"/>
  <c r="U19"/>
  <c r="U149"/>
  <c r="U125"/>
  <c r="U60"/>
  <c r="U150"/>
  <c r="U66"/>
  <c r="U18"/>
  <c r="U23"/>
  <c r="U64"/>
  <c r="U110"/>
  <c r="U192"/>
  <c r="U127"/>
  <c r="U69"/>
  <c r="U155"/>
  <c r="U98"/>
  <c r="U30"/>
  <c r="U175"/>
  <c r="U178"/>
  <c r="U61"/>
  <c r="U27"/>
  <c r="U139"/>
  <c r="U179"/>
  <c r="U75"/>
  <c r="U52"/>
  <c r="U63"/>
  <c r="U152"/>
  <c r="U48"/>
  <c r="U144"/>
  <c r="U168"/>
  <c r="U86"/>
  <c r="U136"/>
  <c r="U85"/>
  <c r="U34"/>
  <c r="U190"/>
  <c r="U58"/>
  <c r="U12"/>
  <c r="U120"/>
  <c r="U182"/>
  <c r="U15"/>
  <c r="U140"/>
  <c r="U72"/>
  <c r="U196"/>
  <c r="U124"/>
  <c r="U109"/>
  <c r="U39"/>
  <c r="U166"/>
  <c r="U191"/>
  <c r="U82"/>
  <c r="U29"/>
  <c r="U147"/>
  <c r="U99"/>
  <c r="U32"/>
  <c r="U142"/>
  <c r="U194"/>
  <c r="U104"/>
  <c r="U59"/>
  <c r="U100"/>
  <c r="U40"/>
  <c r="U71"/>
  <c r="U83"/>
  <c r="U106"/>
  <c r="U95"/>
  <c r="U28"/>
  <c r="U91"/>
  <c r="U92"/>
  <c r="U117"/>
  <c r="U78"/>
  <c r="U96"/>
  <c r="U54"/>
  <c r="U77"/>
  <c r="U135"/>
  <c r="U74"/>
  <c r="U108"/>
  <c r="U26"/>
  <c r="U115"/>
  <c r="U126"/>
  <c r="U70"/>
  <c r="U21"/>
  <c r="U146"/>
  <c r="U183"/>
  <c r="U156"/>
  <c r="U31"/>
  <c r="U24"/>
  <c r="U154"/>
  <c r="U87"/>
  <c r="AA87" s="1"/>
  <c r="U174"/>
  <c r="U198"/>
  <c r="U122"/>
  <c r="U51"/>
  <c r="U167"/>
  <c r="U148"/>
  <c r="U112"/>
  <c r="U114"/>
  <c r="U35"/>
  <c r="U56"/>
  <c r="U84"/>
  <c r="U171"/>
  <c r="U22"/>
  <c r="V22" s="1"/>
  <c r="U151"/>
  <c r="U132"/>
  <c r="U188"/>
  <c r="V188" s="1"/>
  <c r="U53"/>
  <c r="U162"/>
  <c r="U119"/>
  <c r="U50"/>
  <c r="AA50" s="1"/>
  <c r="U180"/>
  <c r="V180" s="1"/>
  <c r="U101"/>
  <c r="V75"/>
  <c r="AA85"/>
  <c r="Y67"/>
  <c r="Z67"/>
  <c r="V90"/>
  <c r="V102"/>
  <c r="V131"/>
  <c r="Y62"/>
  <c r="V197"/>
  <c r="V159"/>
  <c r="V66"/>
  <c r="V122"/>
  <c r="Z152"/>
  <c r="V48"/>
  <c r="AA136"/>
  <c r="AA13"/>
  <c r="V186"/>
  <c r="V40"/>
  <c r="V83"/>
  <c r="V146"/>
  <c r="AA16"/>
  <c r="Z192"/>
  <c r="AA98"/>
  <c r="Z56"/>
  <c r="AA77"/>
  <c r="V150"/>
  <c r="V18"/>
  <c r="V156"/>
  <c r="V198"/>
  <c r="V51"/>
  <c r="V114"/>
  <c r="Z34"/>
  <c r="V12"/>
  <c r="V183"/>
  <c r="Z11"/>
  <c r="Z107"/>
  <c r="V80"/>
  <c r="V158"/>
  <c r="V71"/>
  <c r="Y106"/>
  <c r="V36"/>
  <c r="V23"/>
  <c r="V72"/>
  <c r="V124"/>
  <c r="AA39"/>
  <c r="V189"/>
  <c r="AA128"/>
  <c r="Y181"/>
  <c r="V79"/>
  <c r="Y55"/>
  <c r="V42"/>
  <c r="V54"/>
  <c r="V28"/>
  <c r="V101"/>
  <c r="V106"/>
  <c r="V96"/>
  <c r="Z126"/>
  <c r="V47"/>
  <c r="V144"/>
  <c r="V86"/>
  <c r="Y195"/>
  <c r="V195"/>
  <c r="Y163"/>
  <c r="V163"/>
  <c r="V187"/>
  <c r="V133"/>
  <c r="V88"/>
  <c r="V117"/>
  <c r="V176"/>
  <c r="V119"/>
  <c r="V85"/>
  <c r="V37"/>
  <c r="V116"/>
  <c r="V94"/>
  <c r="V78"/>
  <c r="V199"/>
  <c r="V125"/>
  <c r="V115"/>
  <c r="V138"/>
  <c r="V62"/>
  <c r="V20"/>
  <c r="AA108"/>
  <c r="V10"/>
  <c r="V19"/>
  <c r="Y144"/>
  <c r="Y86"/>
  <c r="Y115"/>
  <c r="Y101"/>
  <c r="Z101"/>
  <c r="Y19"/>
  <c r="Y188"/>
  <c r="Z188"/>
  <c r="Y28"/>
  <c r="Z28"/>
  <c r="Y187"/>
  <c r="Y10"/>
  <c r="Z139"/>
  <c r="V165"/>
  <c r="Z194"/>
  <c r="Y54"/>
  <c r="AA131"/>
  <c r="AA138"/>
  <c r="AA133"/>
  <c r="AA90"/>
  <c r="Z37"/>
  <c r="AA116"/>
  <c r="AA94"/>
  <c r="Z78"/>
  <c r="AA199"/>
  <c r="Z117"/>
  <c r="Z96"/>
  <c r="AA159"/>
  <c r="Z176"/>
  <c r="AA54"/>
  <c r="AA10"/>
  <c r="Y90"/>
  <c r="Y37"/>
  <c r="Y131"/>
  <c r="V132"/>
  <c r="AA111"/>
  <c r="Y199"/>
  <c r="V134"/>
  <c r="V70"/>
  <c r="V157"/>
  <c r="V154"/>
  <c r="V155"/>
  <c r="V175"/>
  <c r="V27"/>
  <c r="V160"/>
  <c r="Z196"/>
  <c r="V141"/>
  <c r="V109"/>
  <c r="V166"/>
  <c r="V173"/>
  <c r="V82"/>
  <c r="V29"/>
  <c r="AA195"/>
  <c r="Z195"/>
  <c r="V84"/>
  <c r="V52"/>
  <c r="AA163"/>
  <c r="Z163"/>
  <c r="V123"/>
  <c r="Z115"/>
  <c r="AA101"/>
  <c r="AA144"/>
  <c r="Z79"/>
  <c r="Z84"/>
  <c r="Z119"/>
  <c r="AA187"/>
  <c r="AA115"/>
  <c r="AA19"/>
  <c r="Z19"/>
  <c r="Z133"/>
  <c r="Z90"/>
  <c r="AA37"/>
  <c r="Z94"/>
  <c r="AA78"/>
  <c r="Z199"/>
  <c r="AA117"/>
  <c r="Z159"/>
  <c r="AA176"/>
  <c r="AA197"/>
  <c r="Z20"/>
  <c r="Z54"/>
  <c r="AA179"/>
  <c r="AA198"/>
  <c r="AA155"/>
  <c r="AA188"/>
  <c r="AA119"/>
  <c r="AA28"/>
  <c r="Z154"/>
  <c r="Z187"/>
  <c r="AA174"/>
  <c r="V76"/>
  <c r="Z100"/>
  <c r="Z10"/>
  <c r="Z184"/>
  <c r="Y133"/>
  <c r="Y116"/>
  <c r="Y94"/>
  <c r="Y78"/>
  <c r="Y40"/>
  <c r="V162"/>
  <c r="Y96"/>
  <c r="Y159"/>
  <c r="Y176"/>
  <c r="AA141"/>
  <c r="Z2"/>
  <c r="V60"/>
  <c r="V26"/>
  <c r="V38"/>
  <c r="AA96" l="1"/>
  <c r="W161"/>
  <c r="Z55"/>
  <c r="Y126"/>
  <c r="AA79"/>
  <c r="Y128"/>
  <c r="V181"/>
  <c r="AA55"/>
  <c r="Y79"/>
  <c r="V55"/>
  <c r="Y180"/>
  <c r="Y85"/>
  <c r="AA186"/>
  <c r="Z62"/>
  <c r="Z36"/>
  <c r="AA48"/>
  <c r="Y34"/>
  <c r="AA126"/>
  <c r="Z131"/>
  <c r="Z197"/>
  <c r="AA102"/>
  <c r="AA62"/>
  <c r="V34"/>
  <c r="Y197"/>
  <c r="Y48"/>
  <c r="Y152"/>
  <c r="AA2"/>
  <c r="V136"/>
  <c r="Z71"/>
  <c r="AA71"/>
  <c r="AA106"/>
  <c r="V39"/>
  <c r="V98"/>
  <c r="Y71"/>
  <c r="Z128"/>
  <c r="Z47"/>
  <c r="Z136"/>
  <c r="Y136"/>
  <c r="Y47"/>
  <c r="AA47"/>
  <c r="Y2"/>
  <c r="Z77"/>
  <c r="Z106"/>
  <c r="V128"/>
  <c r="V152"/>
  <c r="Z183"/>
  <c r="Z48"/>
  <c r="AA152"/>
  <c r="V126"/>
  <c r="Z50"/>
  <c r="AA40"/>
  <c r="V50"/>
  <c r="V77"/>
  <c r="AA51"/>
  <c r="Y50"/>
  <c r="Y77"/>
  <c r="Z40"/>
  <c r="AA18"/>
  <c r="Z138"/>
  <c r="AA34"/>
  <c r="Y138"/>
  <c r="Z85"/>
  <c r="Y20"/>
  <c r="AA20"/>
  <c r="AA180"/>
  <c r="Y119"/>
  <c r="Y88"/>
  <c r="AA146"/>
  <c r="AA150"/>
  <c r="AA158"/>
  <c r="Z108"/>
  <c r="Z173"/>
  <c r="AA125"/>
  <c r="AA88"/>
  <c r="Z86"/>
  <c r="Z114"/>
  <c r="Z66"/>
  <c r="Y160"/>
  <c r="Z180"/>
  <c r="Y117"/>
  <c r="Z181"/>
  <c r="Z125"/>
  <c r="Z88"/>
  <c r="AA86"/>
  <c r="Z144"/>
  <c r="AA181"/>
  <c r="Z44"/>
  <c r="V44"/>
  <c r="Z14"/>
  <c r="V14"/>
  <c r="Z168"/>
  <c r="V168"/>
  <c r="AA53"/>
  <c r="V53"/>
  <c r="AA164"/>
  <c r="V164"/>
  <c r="AA118"/>
  <c r="V118"/>
  <c r="Y59"/>
  <c r="V59"/>
  <c r="Y171"/>
  <c r="V171"/>
  <c r="Y184"/>
  <c r="V184"/>
  <c r="AA99"/>
  <c r="V99"/>
  <c r="AA191"/>
  <c r="V191"/>
  <c r="Y140"/>
  <c r="V140"/>
  <c r="AA15"/>
  <c r="V15"/>
  <c r="Y31"/>
  <c r="V31"/>
  <c r="Y182"/>
  <c r="V182"/>
  <c r="Y120"/>
  <c r="V120"/>
  <c r="Z21"/>
  <c r="V21"/>
  <c r="Y58"/>
  <c r="V58"/>
  <c r="Y61"/>
  <c r="V61"/>
  <c r="Y178"/>
  <c r="V178"/>
  <c r="Y30"/>
  <c r="V30"/>
  <c r="Y174"/>
  <c r="V174"/>
  <c r="Y87"/>
  <c r="V87"/>
  <c r="X89" s="1"/>
  <c r="X161"/>
  <c r="Y24"/>
  <c r="V24"/>
  <c r="W25" s="1"/>
  <c r="Y46"/>
  <c r="V46"/>
  <c r="Y103"/>
  <c r="V103"/>
  <c r="Z95"/>
  <c r="V95"/>
  <c r="AA74"/>
  <c r="V74"/>
  <c r="W81" s="1"/>
  <c r="Z190"/>
  <c r="V190"/>
  <c r="Y100"/>
  <c r="V100"/>
  <c r="Y43"/>
  <c r="V43"/>
  <c r="Y56"/>
  <c r="V56"/>
  <c r="Y179"/>
  <c r="V179"/>
  <c r="Y35"/>
  <c r="V35"/>
  <c r="Z172"/>
  <c r="V172"/>
  <c r="AA130"/>
  <c r="V130"/>
  <c r="Z93"/>
  <c r="V93"/>
  <c r="AA170"/>
  <c r="V170"/>
  <c r="AA91"/>
  <c r="V91"/>
  <c r="Y151"/>
  <c r="V151"/>
  <c r="Z63"/>
  <c r="V63"/>
  <c r="Y32"/>
  <c r="V32"/>
  <c r="Y147"/>
  <c r="V147"/>
  <c r="Y13"/>
  <c r="V13"/>
  <c r="Y196"/>
  <c r="V196"/>
  <c r="Y107"/>
  <c r="V107"/>
  <c r="Y200"/>
  <c r="V200"/>
  <c r="Y110"/>
  <c r="V110"/>
  <c r="Y64"/>
  <c r="V64"/>
  <c r="Y11"/>
  <c r="V11"/>
  <c r="Y16"/>
  <c r="V16"/>
  <c r="Y112"/>
  <c r="V112"/>
  <c r="Y148"/>
  <c r="V148"/>
  <c r="Y167"/>
  <c r="V167"/>
  <c r="Y69"/>
  <c r="V69"/>
  <c r="Y127"/>
  <c r="V127"/>
  <c r="Y192"/>
  <c r="V192"/>
  <c r="Y68"/>
  <c r="V68"/>
  <c r="AA143"/>
  <c r="V143"/>
  <c r="Z111"/>
  <c r="V111"/>
  <c r="AA135"/>
  <c r="V135"/>
  <c r="AA149"/>
  <c r="V149"/>
  <c r="Z104"/>
  <c r="V104"/>
  <c r="Y194"/>
  <c r="V194"/>
  <c r="Y142"/>
  <c r="V142"/>
  <c r="Y139"/>
  <c r="V139"/>
  <c r="Y108"/>
  <c r="V108"/>
  <c r="Y45"/>
  <c r="V45"/>
  <c r="Y92"/>
  <c r="V92"/>
  <c r="Y125"/>
  <c r="Z23"/>
  <c r="AA157"/>
  <c r="Y102"/>
  <c r="AA175"/>
  <c r="AA109"/>
  <c r="Z45"/>
  <c r="Z92"/>
  <c r="Z116"/>
  <c r="Z102"/>
  <c r="Z182"/>
  <c r="AA103"/>
  <c r="Z30"/>
  <c r="AA45"/>
  <c r="Y51"/>
  <c r="Z122"/>
  <c r="AA124"/>
  <c r="AA72"/>
  <c r="Z156"/>
  <c r="Z12"/>
  <c r="AA70"/>
  <c r="AA112"/>
  <c r="Z120"/>
  <c r="AA27"/>
  <c r="AA166"/>
  <c r="Z80"/>
  <c r="AA75"/>
  <c r="Z35"/>
  <c r="Z167"/>
  <c r="AA142"/>
  <c r="AA32"/>
  <c r="Z75"/>
  <c r="AA148"/>
  <c r="Y166"/>
  <c r="Y80"/>
  <c r="AA92"/>
  <c r="Y150"/>
  <c r="Z51"/>
  <c r="AA12"/>
  <c r="Z70"/>
  <c r="Y109"/>
  <c r="Y72"/>
  <c r="Y175"/>
  <c r="Y146"/>
  <c r="Y12"/>
  <c r="Y70"/>
  <c r="AA122"/>
  <c r="Y75"/>
  <c r="Y38"/>
  <c r="AA60"/>
  <c r="Y60"/>
  <c r="Y44"/>
  <c r="Y172"/>
  <c r="Z162"/>
  <c r="Y162"/>
  <c r="Y170"/>
  <c r="Y76"/>
  <c r="Y42"/>
  <c r="AA42"/>
  <c r="Y164"/>
  <c r="Z164"/>
  <c r="Z83"/>
  <c r="Y83"/>
  <c r="Z118"/>
  <c r="Y118"/>
  <c r="AA151"/>
  <c r="AA63"/>
  <c r="AA52"/>
  <c r="Z52"/>
  <c r="AA84"/>
  <c r="Z32"/>
  <c r="Z147"/>
  <c r="Z29"/>
  <c r="AA29"/>
  <c r="AA82"/>
  <c r="Z82"/>
  <c r="AA160"/>
  <c r="AA107"/>
  <c r="Z140"/>
  <c r="AA140"/>
  <c r="AA11"/>
  <c r="Z16"/>
  <c r="AA66"/>
  <c r="AA114"/>
  <c r="AA61"/>
  <c r="Z112"/>
  <c r="Z178"/>
  <c r="AA30"/>
  <c r="AA69"/>
  <c r="AA127"/>
  <c r="AA24"/>
  <c r="Z24"/>
  <c r="Z46"/>
  <c r="AA46"/>
  <c r="Y134"/>
  <c r="Z134"/>
  <c r="Y143"/>
  <c r="Z143"/>
  <c r="Y74"/>
  <c r="Y132"/>
  <c r="AA132"/>
  <c r="Y149"/>
  <c r="AA100"/>
  <c r="AA104"/>
  <c r="AA194"/>
  <c r="AA139"/>
  <c r="AA38"/>
  <c r="AA14"/>
  <c r="Z130"/>
  <c r="AA93"/>
  <c r="AA76"/>
  <c r="AA59"/>
  <c r="Z42"/>
  <c r="AA83"/>
  <c r="Z123"/>
  <c r="Y123"/>
  <c r="Y63"/>
  <c r="Y52"/>
  <c r="Y84"/>
  <c r="Y99"/>
  <c r="Y29"/>
  <c r="Y82"/>
  <c r="Y186"/>
  <c r="Y191"/>
  <c r="Y173"/>
  <c r="Y39"/>
  <c r="Y141"/>
  <c r="Y124"/>
  <c r="Y183"/>
  <c r="Y18"/>
  <c r="Y66"/>
  <c r="Y27"/>
  <c r="Y114"/>
  <c r="Y122"/>
  <c r="Y155"/>
  <c r="Y198"/>
  <c r="Y156"/>
  <c r="Y23"/>
  <c r="Z98"/>
  <c r="Z141"/>
  <c r="Z72"/>
  <c r="AA183"/>
  <c r="Z146"/>
  <c r="Z18"/>
  <c r="Z150"/>
  <c r="AA134"/>
  <c r="Z151"/>
  <c r="Z160"/>
  <c r="Z132"/>
  <c r="Z27"/>
  <c r="AA173"/>
  <c r="Z166"/>
  <c r="AA80"/>
  <c r="Z155"/>
  <c r="Z74"/>
  <c r="Z76"/>
  <c r="Y104"/>
  <c r="Y26"/>
  <c r="Y14"/>
  <c r="Y130"/>
  <c r="AA168"/>
  <c r="Y168"/>
  <c r="Y93"/>
  <c r="Y53"/>
  <c r="Z53"/>
  <c r="Z91"/>
  <c r="Y91"/>
  <c r="Z59"/>
  <c r="Z189"/>
  <c r="AA189"/>
  <c r="Z22"/>
  <c r="AA22"/>
  <c r="Z171"/>
  <c r="AA171"/>
  <c r="AA184"/>
  <c r="Z99"/>
  <c r="Z158"/>
  <c r="Z191"/>
  <c r="Z13"/>
  <c r="AA196"/>
  <c r="AA200"/>
  <c r="Z200"/>
  <c r="Z15"/>
  <c r="Z110"/>
  <c r="AA110"/>
  <c r="Z31"/>
  <c r="AA31"/>
  <c r="Z64"/>
  <c r="AA64"/>
  <c r="AA182"/>
  <c r="AA120"/>
  <c r="AA21"/>
  <c r="AA58"/>
  <c r="Z58"/>
  <c r="Z148"/>
  <c r="AA167"/>
  <c r="Z174"/>
  <c r="Z87"/>
  <c r="AA154"/>
  <c r="AA192"/>
  <c r="Z68"/>
  <c r="AA68"/>
  <c r="AA36"/>
  <c r="Z103"/>
  <c r="Y95"/>
  <c r="AA95"/>
  <c r="Y111"/>
  <c r="Y135"/>
  <c r="Y190"/>
  <c r="AA190"/>
  <c r="AA43"/>
  <c r="Z43"/>
  <c r="AA165"/>
  <c r="Z165"/>
  <c r="Z142"/>
  <c r="AA56"/>
  <c r="Z179"/>
  <c r="AA35"/>
  <c r="Z38"/>
  <c r="Z26"/>
  <c r="Y189"/>
  <c r="Y22"/>
  <c r="Y158"/>
  <c r="Y15"/>
  <c r="Y21"/>
  <c r="Y98"/>
  <c r="Y154"/>
  <c r="Y157"/>
  <c r="Y36"/>
  <c r="Z124"/>
  <c r="AA156"/>
  <c r="AA23"/>
  <c r="Z157"/>
  <c r="AA123"/>
  <c r="Z60"/>
  <c r="Z69"/>
  <c r="AA26"/>
  <c r="Z127"/>
  <c r="AA178"/>
  <c r="AA162"/>
  <c r="Z61"/>
  <c r="Z186"/>
  <c r="Z175"/>
  <c r="Z39"/>
  <c r="Z109"/>
  <c r="Z198"/>
  <c r="AA44"/>
  <c r="AA172"/>
  <c r="Z135"/>
  <c r="Z149"/>
  <c r="Z170"/>
  <c r="AA147"/>
  <c r="Y165"/>
  <c r="W153" l="1"/>
  <c r="W121"/>
  <c r="W73"/>
  <c r="W177"/>
  <c r="W201"/>
  <c r="W193"/>
  <c r="W169"/>
  <c r="W145"/>
  <c r="W137"/>
  <c r="W129"/>
  <c r="W113"/>
  <c r="W97"/>
  <c r="W49"/>
  <c r="W33"/>
  <c r="W17"/>
  <c r="W105"/>
  <c r="W185"/>
  <c r="W65"/>
  <c r="W89"/>
  <c r="W41"/>
  <c r="W57"/>
  <c r="X41"/>
  <c r="X25"/>
  <c r="X145"/>
  <c r="X121"/>
  <c r="X57"/>
  <c r="X17"/>
  <c r="X105"/>
  <c r="X169"/>
  <c r="X81"/>
  <c r="X185"/>
  <c r="X65"/>
  <c r="X153"/>
  <c r="X129"/>
  <c r="X73"/>
  <c r="X193"/>
  <c r="X49"/>
  <c r="X33"/>
  <c r="X201"/>
  <c r="X113"/>
  <c r="X97"/>
  <c r="X177"/>
  <c r="X137"/>
  <c r="AD178" a="1"/>
  <c r="AH181" s="1"/>
  <c r="AD138" a="1"/>
  <c r="AH141" s="1"/>
  <c r="AD154" a="1"/>
  <c r="AD154" s="1"/>
  <c r="AD122" a="1"/>
  <c r="AE124" s="1"/>
  <c r="AD82" a="1"/>
  <c r="AE84" s="1"/>
  <c r="AD50" a="1"/>
  <c r="AE51" s="1"/>
  <c r="AD106" a="1"/>
  <c r="AI106" s="1"/>
  <c r="AD10" a="1"/>
  <c r="AH10" s="1"/>
  <c r="AD194" a="1"/>
  <c r="AH194" s="1"/>
  <c r="AD90" a="1"/>
  <c r="AI90" s="1"/>
  <c r="AD58" a="1"/>
  <c r="AF59" s="1"/>
  <c r="AD34" a="1"/>
  <c r="AE36" s="1"/>
  <c r="AD18" a="1"/>
  <c r="AG20" s="1"/>
  <c r="AD98" a="1"/>
  <c r="AJ98" s="1"/>
  <c r="AD130" a="1"/>
  <c r="AF131" s="1"/>
  <c r="AD26" a="1"/>
  <c r="AG28" s="1"/>
  <c r="AD114" a="1"/>
  <c r="AD116" s="1"/>
  <c r="AD66" a="1"/>
  <c r="AF68" s="1"/>
  <c r="AD186" a="1"/>
  <c r="AG186" s="1"/>
  <c r="AD74" a="1"/>
  <c r="AJ76" s="1"/>
  <c r="AD42" a="1"/>
  <c r="AE43" s="1"/>
  <c r="AD170" a="1"/>
  <c r="AF172" s="1"/>
  <c r="AD162" a="1"/>
  <c r="AJ162" s="1"/>
  <c r="AD146" a="1"/>
  <c r="AH147" s="1"/>
  <c r="AG60" l="1"/>
  <c r="AE59"/>
  <c r="AH108"/>
  <c r="AI141"/>
  <c r="AI60"/>
  <c r="AI58"/>
  <c r="AD60"/>
  <c r="AF60"/>
  <c r="AD179"/>
  <c r="AH180"/>
  <c r="AI83"/>
  <c r="AF139"/>
  <c r="AI181"/>
  <c r="AI180"/>
  <c r="AD138"/>
  <c r="AJ107"/>
  <c r="AJ60"/>
  <c r="AD59"/>
  <c r="AG179"/>
  <c r="AJ196"/>
  <c r="AF196"/>
  <c r="AJ195"/>
  <c r="AJ180"/>
  <c r="AD180"/>
  <c r="AI179"/>
  <c r="AI178"/>
  <c r="AE179"/>
  <c r="AJ179"/>
  <c r="AE181"/>
  <c r="AI171"/>
  <c r="AH155"/>
  <c r="AJ155"/>
  <c r="AF154"/>
  <c r="AD156"/>
  <c r="AG154"/>
  <c r="AH154"/>
  <c r="AG139"/>
  <c r="AE138"/>
  <c r="AI140"/>
  <c r="AE141"/>
  <c r="AE123"/>
  <c r="AF123"/>
  <c r="AH114"/>
  <c r="AH107"/>
  <c r="AG107"/>
  <c r="AI99"/>
  <c r="AF82"/>
  <c r="AG59"/>
  <c r="AJ59"/>
  <c r="AJ52"/>
  <c r="AF52"/>
  <c r="AG51"/>
  <c r="AH44"/>
  <c r="AH18"/>
  <c r="AG18"/>
  <c r="AD19"/>
  <c r="AH19"/>
  <c r="AF12"/>
  <c r="AE12"/>
  <c r="AH34"/>
  <c r="AE83"/>
  <c r="AD84"/>
  <c r="AH28"/>
  <c r="AH36"/>
  <c r="AG138"/>
  <c r="AE154"/>
  <c r="AJ67"/>
  <c r="AE91"/>
  <c r="AG11"/>
  <c r="AI27"/>
  <c r="AH139"/>
  <c r="AG90"/>
  <c r="AE171"/>
  <c r="AG155"/>
  <c r="AJ156"/>
  <c r="AE140"/>
  <c r="AE155"/>
  <c r="AF156"/>
  <c r="AE139"/>
  <c r="AH140"/>
  <c r="AD140"/>
  <c r="AF141"/>
  <c r="AJ141"/>
  <c r="AE82"/>
  <c r="AH179"/>
  <c r="AF179"/>
  <c r="AG178"/>
  <c r="AD178"/>
  <c r="AJ181"/>
  <c r="AH178"/>
  <c r="AE178"/>
  <c r="AG180"/>
  <c r="AF180"/>
  <c r="AF181"/>
  <c r="AD181"/>
  <c r="AF178"/>
  <c r="AJ178"/>
  <c r="AE180"/>
  <c r="AG181"/>
  <c r="AF44"/>
  <c r="AF122"/>
  <c r="AH188"/>
  <c r="AG163"/>
  <c r="AD164"/>
  <c r="AF163"/>
  <c r="AJ164"/>
  <c r="AH163"/>
  <c r="AE74"/>
  <c r="AF140"/>
  <c r="AJ11"/>
  <c r="AI124"/>
  <c r="AI139"/>
  <c r="AF76"/>
  <c r="AG170"/>
  <c r="AD171"/>
  <c r="AI138"/>
  <c r="AJ140"/>
  <c r="AG140"/>
  <c r="AJ139"/>
  <c r="AJ138"/>
  <c r="AH138"/>
  <c r="AD139"/>
  <c r="AF138"/>
  <c r="AG141"/>
  <c r="AD141"/>
  <c r="AI149"/>
  <c r="AD149"/>
  <c r="AJ149"/>
  <c r="AG149"/>
  <c r="AF149"/>
  <c r="AE149"/>
  <c r="AH149"/>
  <c r="AD148"/>
  <c r="AH148"/>
  <c r="AG148"/>
  <c r="AF148"/>
  <c r="AJ148"/>
  <c r="AF146"/>
  <c r="AJ147"/>
  <c r="AI146"/>
  <c r="AE146"/>
  <c r="AJ146"/>
  <c r="AF173"/>
  <c r="AI173"/>
  <c r="AE173"/>
  <c r="AJ173"/>
  <c r="AH173"/>
  <c r="AD173"/>
  <c r="AG173"/>
  <c r="AD172"/>
  <c r="AH172"/>
  <c r="AI172"/>
  <c r="AJ172"/>
  <c r="AJ171"/>
  <c r="AG171"/>
  <c r="AE170"/>
  <c r="AH170"/>
  <c r="AF171"/>
  <c r="AJ170"/>
  <c r="AE45"/>
  <c r="AJ45"/>
  <c r="AF45"/>
  <c r="AI45"/>
  <c r="AH45"/>
  <c r="AG45"/>
  <c r="AD45"/>
  <c r="AF43"/>
  <c r="AJ44"/>
  <c r="AI42"/>
  <c r="AJ42"/>
  <c r="AI44"/>
  <c r="AH42"/>
  <c r="AG43"/>
  <c r="AJ43"/>
  <c r="AG44"/>
  <c r="AE42"/>
  <c r="AG42"/>
  <c r="AI43"/>
  <c r="AG77"/>
  <c r="AD77"/>
  <c r="AF77"/>
  <c r="AI77"/>
  <c r="AE77"/>
  <c r="AH77"/>
  <c r="AJ77"/>
  <c r="AH74"/>
  <c r="AG74"/>
  <c r="AI75"/>
  <c r="AJ75"/>
  <c r="AE76"/>
  <c r="AH75"/>
  <c r="AG75"/>
  <c r="AI74"/>
  <c r="AD76"/>
  <c r="AJ74"/>
  <c r="AH76"/>
  <c r="AG76"/>
  <c r="AI76"/>
  <c r="AE75"/>
  <c r="AJ189"/>
  <c r="AH189"/>
  <c r="AE189"/>
  <c r="AI189"/>
  <c r="AG189"/>
  <c r="AF189"/>
  <c r="AD189"/>
  <c r="AF188"/>
  <c r="AE188"/>
  <c r="AJ186"/>
  <c r="AE186"/>
  <c r="AF186"/>
  <c r="AD188"/>
  <c r="AH187"/>
  <c r="AE187"/>
  <c r="AJ187"/>
  <c r="AI188"/>
  <c r="AF187"/>
  <c r="AD69"/>
  <c r="AF69"/>
  <c r="AI69"/>
  <c r="AG69"/>
  <c r="AE69"/>
  <c r="AJ69"/>
  <c r="AH69"/>
  <c r="AE68"/>
  <c r="AE66"/>
  <c r="AE67"/>
  <c r="AG66"/>
  <c r="AD67"/>
  <c r="AI66"/>
  <c r="AI67"/>
  <c r="AJ68"/>
  <c r="AI68"/>
  <c r="AH68"/>
  <c r="AF66"/>
  <c r="AD117"/>
  <c r="AJ117"/>
  <c r="AE117"/>
  <c r="AI117"/>
  <c r="AF117"/>
  <c r="AH117"/>
  <c r="AG117"/>
  <c r="AH116"/>
  <c r="AF114"/>
  <c r="AG116"/>
  <c r="AF115"/>
  <c r="AE115"/>
  <c r="AG115"/>
  <c r="AJ115"/>
  <c r="AI115"/>
  <c r="AJ114"/>
  <c r="AI116"/>
  <c r="AD115"/>
  <c r="AG114"/>
  <c r="AF116"/>
  <c r="AI114"/>
  <c r="AE116"/>
  <c r="AE114"/>
  <c r="AG29"/>
  <c r="AH29"/>
  <c r="AD29"/>
  <c r="AJ29"/>
  <c r="AE29"/>
  <c r="AI29"/>
  <c r="AF29"/>
  <c r="AJ26"/>
  <c r="AH26"/>
  <c r="AF28"/>
  <c r="AI26"/>
  <c r="AF26"/>
  <c r="AF27"/>
  <c r="AE28"/>
  <c r="AJ28"/>
  <c r="AH27"/>
  <c r="AJ133"/>
  <c r="AE133"/>
  <c r="AG133"/>
  <c r="AH133"/>
  <c r="AD133"/>
  <c r="AF133"/>
  <c r="AI133"/>
  <c r="AJ132"/>
  <c r="AD132"/>
  <c r="AG130"/>
  <c r="AG131"/>
  <c r="AE130"/>
  <c r="AE132"/>
  <c r="AJ131"/>
  <c r="AJ130"/>
  <c r="AI132"/>
  <c r="AE131"/>
  <c r="AG132"/>
  <c r="AE101"/>
  <c r="AH101"/>
  <c r="AD101"/>
  <c r="AI101"/>
  <c r="AJ101"/>
  <c r="AF101"/>
  <c r="AG101"/>
  <c r="AD100"/>
  <c r="AI98"/>
  <c r="AF98"/>
  <c r="AG99"/>
  <c r="AF99"/>
  <c r="AJ99"/>
  <c r="AG100"/>
  <c r="AG98"/>
  <c r="AH98"/>
  <c r="AH99"/>
  <c r="AH100"/>
  <c r="AI100"/>
  <c r="AE100"/>
  <c r="AH21"/>
  <c r="AD21"/>
  <c r="AG21"/>
  <c r="AI21"/>
  <c r="AJ21"/>
  <c r="AF21"/>
  <c r="AE21"/>
  <c r="AF19"/>
  <c r="AG19"/>
  <c r="AF18"/>
  <c r="AI19"/>
  <c r="AE19"/>
  <c r="AD20"/>
  <c r="AE20"/>
  <c r="AJ18"/>
  <c r="AF20"/>
  <c r="AE18"/>
  <c r="AJ37"/>
  <c r="AE37"/>
  <c r="AH37"/>
  <c r="AD37"/>
  <c r="AI37"/>
  <c r="AF37"/>
  <c r="AG37"/>
  <c r="AD34"/>
  <c r="AE35"/>
  <c r="AJ35"/>
  <c r="AD36"/>
  <c r="AJ34"/>
  <c r="AD35"/>
  <c r="AI36"/>
  <c r="AG36"/>
  <c r="AF35"/>
  <c r="AJ36"/>
  <c r="AG34"/>
  <c r="AG35"/>
  <c r="AE34"/>
  <c r="AF93"/>
  <c r="AI93"/>
  <c r="AD93"/>
  <c r="AG93"/>
  <c r="AJ93"/>
  <c r="AH93"/>
  <c r="AE93"/>
  <c r="AD90"/>
  <c r="AF91"/>
  <c r="AD91"/>
  <c r="AI91"/>
  <c r="AH92"/>
  <c r="AD92"/>
  <c r="AE92"/>
  <c r="AH90"/>
  <c r="AJ92"/>
  <c r="AJ91"/>
  <c r="AF90"/>
  <c r="AJ90"/>
  <c r="AG91"/>
  <c r="AH91"/>
  <c r="AF92"/>
  <c r="AE13"/>
  <c r="AI13"/>
  <c r="AH13"/>
  <c r="AD13"/>
  <c r="AF13"/>
  <c r="AG13"/>
  <c r="AJ13"/>
  <c r="AJ10"/>
  <c r="AD10"/>
  <c r="AG12"/>
  <c r="AJ12"/>
  <c r="AH11"/>
  <c r="AF11"/>
  <c r="AI12"/>
  <c r="AG10"/>
  <c r="AD12"/>
  <c r="AE10"/>
  <c r="AE11"/>
  <c r="AD11"/>
  <c r="AF53"/>
  <c r="AD53"/>
  <c r="AJ53"/>
  <c r="AH53"/>
  <c r="AI53"/>
  <c r="AE53"/>
  <c r="AG53"/>
  <c r="AG52"/>
  <c r="AD51"/>
  <c r="AD50"/>
  <c r="AJ51"/>
  <c r="AH52"/>
  <c r="AD52"/>
  <c r="AE50"/>
  <c r="AH50"/>
  <c r="AI51"/>
  <c r="AE52"/>
  <c r="AH51"/>
  <c r="AI52"/>
  <c r="AJ50"/>
  <c r="AI50"/>
  <c r="AH85"/>
  <c r="AD85"/>
  <c r="AG85"/>
  <c r="AI85"/>
  <c r="AF85"/>
  <c r="AE85"/>
  <c r="AJ85"/>
  <c r="AG83"/>
  <c r="AG82"/>
  <c r="AG84"/>
  <c r="AH83"/>
  <c r="AI82"/>
  <c r="AH84"/>
  <c r="AJ84"/>
  <c r="AI84"/>
  <c r="AJ83"/>
  <c r="AJ82"/>
  <c r="AF83"/>
  <c r="AH82"/>
  <c r="AJ125"/>
  <c r="AH125"/>
  <c r="AG125"/>
  <c r="AF125"/>
  <c r="AD125"/>
  <c r="AE125"/>
  <c r="AI125"/>
  <c r="AG122"/>
  <c r="AJ122"/>
  <c r="AD123"/>
  <c r="AH122"/>
  <c r="AG124"/>
  <c r="AH124"/>
  <c r="AH123"/>
  <c r="AI122"/>
  <c r="AJ124"/>
  <c r="AF124"/>
  <c r="AJ123"/>
  <c r="AG123"/>
  <c r="AI157"/>
  <c r="AF157"/>
  <c r="AJ157"/>
  <c r="AG157"/>
  <c r="AD157"/>
  <c r="AE157"/>
  <c r="AH157"/>
  <c r="AI154"/>
  <c r="AJ154"/>
  <c r="AI156"/>
  <c r="AH156"/>
  <c r="AD155"/>
  <c r="AF155"/>
  <c r="AG156"/>
  <c r="AE156"/>
  <c r="AI155"/>
  <c r="AJ66"/>
  <c r="AF10"/>
  <c r="AF58"/>
  <c r="AF170"/>
  <c r="AD44"/>
  <c r="AF51"/>
  <c r="AJ27"/>
  <c r="AG27"/>
  <c r="AH43"/>
  <c r="AG146"/>
  <c r="AJ100"/>
  <c r="AG92"/>
  <c r="AF50"/>
  <c r="AI186"/>
  <c r="AE27"/>
  <c r="AE90"/>
  <c r="AH20"/>
  <c r="AI28"/>
  <c r="AH171"/>
  <c r="AF67"/>
  <c r="AI130"/>
  <c r="AF34"/>
  <c r="AD187"/>
  <c r="AG147"/>
  <c r="AD165"/>
  <c r="AG165"/>
  <c r="AJ165"/>
  <c r="AH165"/>
  <c r="AE165"/>
  <c r="AF165"/>
  <c r="AI165"/>
  <c r="AE162"/>
  <c r="AI163"/>
  <c r="AH162"/>
  <c r="AF164"/>
  <c r="AE164"/>
  <c r="AI162"/>
  <c r="AJ163"/>
  <c r="AH164"/>
  <c r="AE163"/>
  <c r="AG61"/>
  <c r="AF61"/>
  <c r="AD61"/>
  <c r="AE61"/>
  <c r="AH61"/>
  <c r="AI61"/>
  <c r="AJ61"/>
  <c r="AD58"/>
  <c r="AH59"/>
  <c r="AE58"/>
  <c r="AH60"/>
  <c r="AH58"/>
  <c r="AJ58"/>
  <c r="AG58"/>
  <c r="AI59"/>
  <c r="AJ197"/>
  <c r="AH197"/>
  <c r="AE197"/>
  <c r="AF197"/>
  <c r="AG197"/>
  <c r="AI197"/>
  <c r="AD197"/>
  <c r="AE194"/>
  <c r="AD194"/>
  <c r="AG194"/>
  <c r="AE196"/>
  <c r="AF194"/>
  <c r="AI194"/>
  <c r="AI196"/>
  <c r="AF195"/>
  <c r="AH196"/>
  <c r="AG196"/>
  <c r="AD195"/>
  <c r="AE195"/>
  <c r="AJ194"/>
  <c r="AI195"/>
  <c r="AG195"/>
  <c r="AJ109"/>
  <c r="AE109"/>
  <c r="AG109"/>
  <c r="AH109"/>
  <c r="AD109"/>
  <c r="AF109"/>
  <c r="AI109"/>
  <c r="AE106"/>
  <c r="AD106"/>
  <c r="AF107"/>
  <c r="AG108"/>
  <c r="AH106"/>
  <c r="AJ106"/>
  <c r="AE107"/>
  <c r="AD108"/>
  <c r="AD107"/>
  <c r="AF108"/>
  <c r="AI108"/>
  <c r="AF106"/>
  <c r="AJ108"/>
  <c r="AI107"/>
  <c r="AH146"/>
  <c r="AH66"/>
  <c r="AF74"/>
  <c r="AI148"/>
  <c r="AD68"/>
  <c r="AG68"/>
  <c r="AJ20"/>
  <c r="AH130"/>
  <c r="AF130"/>
  <c r="AD131"/>
  <c r="AD43"/>
  <c r="AG26"/>
  <c r="AD99"/>
  <c r="AD147"/>
  <c r="AI147"/>
  <c r="AG172"/>
  <c r="AD75"/>
  <c r="AG188"/>
  <c r="AE172"/>
  <c r="AE99"/>
  <c r="AI187"/>
  <c r="AJ116"/>
  <c r="AF36"/>
  <c r="AE44"/>
  <c r="AD27"/>
  <c r="AI20"/>
  <c r="AG67"/>
  <c r="AI131"/>
  <c r="AF75"/>
  <c r="AI164"/>
  <c r="AJ188"/>
  <c r="AH186"/>
  <c r="AH35"/>
  <c r="AI10"/>
  <c r="AD28"/>
  <c r="AI35"/>
  <c r="AE148"/>
  <c r="AD146"/>
  <c r="AD162"/>
  <c r="AD170"/>
  <c r="AD42"/>
  <c r="AD74"/>
  <c r="AD186"/>
  <c r="AD66"/>
  <c r="AD114"/>
  <c r="AD26"/>
  <c r="AD130"/>
  <c r="AD98"/>
  <c r="AD18"/>
  <c r="AH67"/>
  <c r="AG106"/>
  <c r="AI170"/>
  <c r="AD124"/>
  <c r="AF42"/>
  <c r="AD163"/>
  <c r="AF162"/>
  <c r="AH115"/>
  <c r="AF84"/>
  <c r="AE147"/>
  <c r="AD83"/>
  <c r="AE108"/>
  <c r="AJ19"/>
  <c r="AH131"/>
  <c r="AF132"/>
  <c r="AF100"/>
  <c r="AD196"/>
  <c r="AH12"/>
  <c r="AE60"/>
  <c r="AE122"/>
  <c r="AE98"/>
  <c r="AI34"/>
  <c r="AE26"/>
  <c r="AI18"/>
  <c r="AH132"/>
  <c r="AG50"/>
  <c r="AG187"/>
  <c r="AI11"/>
  <c r="AF147"/>
  <c r="AI92"/>
  <c r="AG164"/>
  <c r="AI123"/>
  <c r="AH195"/>
  <c r="AG162"/>
  <c r="AD82"/>
  <c r="AD122"/>
  <c r="AV138" l="1" a="1"/>
  <c r="AL178" a="1"/>
  <c r="AO180" s="1"/>
  <c r="AV178" a="1"/>
  <c r="AV179" s="1"/>
  <c r="AL138" a="1"/>
  <c r="AL138" s="1"/>
  <c r="AV10" a="1"/>
  <c r="AV12" s="1"/>
  <c r="AL82" a="1"/>
  <c r="AV82" a="1"/>
  <c r="AL98" a="1"/>
  <c r="AV98" a="1"/>
  <c r="AV26" a="1"/>
  <c r="AL26" a="1"/>
  <c r="AL66" a="1"/>
  <c r="AV66" a="1"/>
  <c r="AL74" a="1"/>
  <c r="AV74" a="1"/>
  <c r="AV170" a="1"/>
  <c r="AL170" a="1"/>
  <c r="AL194" a="1"/>
  <c r="AV194" a="1"/>
  <c r="AL90" a="1"/>
  <c r="AV90" a="1"/>
  <c r="AL106" a="1"/>
  <c r="AV58" a="1"/>
  <c r="AL146" a="1"/>
  <c r="AL34" a="1"/>
  <c r="AV154" a="1"/>
  <c r="AV34" a="1"/>
  <c r="AL154" a="1"/>
  <c r="AV122" a="1"/>
  <c r="AL122" a="1"/>
  <c r="AL18" a="1"/>
  <c r="AV18" a="1"/>
  <c r="AV130" a="1"/>
  <c r="AL130" a="1"/>
  <c r="AL114" a="1"/>
  <c r="AV114" a="1"/>
  <c r="AL42" a="1"/>
  <c r="AV42" a="1"/>
  <c r="AL162" a="1"/>
  <c r="AV162" a="1"/>
  <c r="AV138"/>
  <c r="AV140"/>
  <c r="AV139"/>
  <c r="AV141"/>
  <c r="AL186" a="1"/>
  <c r="AV146" a="1"/>
  <c r="AV106" a="1"/>
  <c r="AV186" a="1"/>
  <c r="AL50" a="1"/>
  <c r="AL58" a="1"/>
  <c r="AV50" a="1"/>
  <c r="AL10" a="1"/>
  <c r="AV181" l="1"/>
  <c r="AO181"/>
  <c r="AO179"/>
  <c r="AM181"/>
  <c r="AN180"/>
  <c r="AM179"/>
  <c r="AL179"/>
  <c r="AL180"/>
  <c r="AO178"/>
  <c r="AV178"/>
  <c r="AV180"/>
  <c r="AN181"/>
  <c r="AN179"/>
  <c r="AL181"/>
  <c r="AN178"/>
  <c r="AM178"/>
  <c r="AL178"/>
  <c r="AM180"/>
  <c r="AO139"/>
  <c r="AM140"/>
  <c r="AO141"/>
  <c r="AO140"/>
  <c r="AV11"/>
  <c r="AM141"/>
  <c r="AM139"/>
  <c r="AN140"/>
  <c r="AL140"/>
  <c r="AV10"/>
  <c r="AN141"/>
  <c r="AL141"/>
  <c r="AN139"/>
  <c r="AL139"/>
  <c r="AO138"/>
  <c r="AN138"/>
  <c r="AM138"/>
  <c r="AV13"/>
  <c r="AV53"/>
  <c r="AV51"/>
  <c r="AV52"/>
  <c r="AV50"/>
  <c r="AO53"/>
  <c r="AO51"/>
  <c r="AN53"/>
  <c r="AN51"/>
  <c r="AM53"/>
  <c r="AM51"/>
  <c r="AL53"/>
  <c r="AL51"/>
  <c r="AO52"/>
  <c r="AN52"/>
  <c r="AM52"/>
  <c r="AL52"/>
  <c r="AO50"/>
  <c r="AN50"/>
  <c r="AM50"/>
  <c r="AL50"/>
  <c r="AV106"/>
  <c r="AV108"/>
  <c r="AV107"/>
  <c r="AV109"/>
  <c r="AL189"/>
  <c r="AL188"/>
  <c r="AO187"/>
  <c r="AO189"/>
  <c r="AN188"/>
  <c r="AL187"/>
  <c r="AM187"/>
  <c r="AM189"/>
  <c r="AN187"/>
  <c r="AL186"/>
  <c r="AO186"/>
  <c r="AO188"/>
  <c r="AN186"/>
  <c r="AN189"/>
  <c r="AM186"/>
  <c r="AM188"/>
  <c r="AN162"/>
  <c r="AN164"/>
  <c r="AO162"/>
  <c r="AO164"/>
  <c r="AL162"/>
  <c r="AL164"/>
  <c r="AM162"/>
  <c r="AM164"/>
  <c r="AN163"/>
  <c r="AN165"/>
  <c r="AO163"/>
  <c r="AO165"/>
  <c r="AL163"/>
  <c r="AL165"/>
  <c r="AM163"/>
  <c r="AM165"/>
  <c r="AL43"/>
  <c r="AL45"/>
  <c r="AM43"/>
  <c r="AM45"/>
  <c r="AN43"/>
  <c r="AN45"/>
  <c r="AO43"/>
  <c r="AO45"/>
  <c r="AL42"/>
  <c r="AL44"/>
  <c r="AM42"/>
  <c r="AM44"/>
  <c r="AN42"/>
  <c r="AN44"/>
  <c r="AO42"/>
  <c r="AO44"/>
  <c r="AL117"/>
  <c r="AM114"/>
  <c r="AN116"/>
  <c r="AL115"/>
  <c r="AO115"/>
  <c r="AN115"/>
  <c r="AM115"/>
  <c r="AL114"/>
  <c r="AL116"/>
  <c r="AN114"/>
  <c r="AO114"/>
  <c r="AO116"/>
  <c r="AM116"/>
  <c r="AO117"/>
  <c r="AN117"/>
  <c r="AM117"/>
  <c r="AV130"/>
  <c r="AV132"/>
  <c r="AV131"/>
  <c r="AV133"/>
  <c r="AO21"/>
  <c r="AO19"/>
  <c r="AN21"/>
  <c r="AN19"/>
  <c r="AM21"/>
  <c r="AM19"/>
  <c r="AL21"/>
  <c r="AL19"/>
  <c r="AO20"/>
  <c r="AO18"/>
  <c r="AN20"/>
  <c r="AN18"/>
  <c r="AM20"/>
  <c r="AM18"/>
  <c r="AL20"/>
  <c r="AL18"/>
  <c r="AV124"/>
  <c r="AV122"/>
  <c r="AV125"/>
  <c r="AV123"/>
  <c r="AO11"/>
  <c r="AN10"/>
  <c r="AO10"/>
  <c r="AL11"/>
  <c r="AN12"/>
  <c r="AM10"/>
  <c r="AM12"/>
  <c r="AL10"/>
  <c r="AO13"/>
  <c r="AN13"/>
  <c r="AO12"/>
  <c r="AN11"/>
  <c r="AM11"/>
  <c r="AM13"/>
  <c r="AL12"/>
  <c r="AL13"/>
  <c r="AL60"/>
  <c r="AM60"/>
  <c r="AL61"/>
  <c r="AM61"/>
  <c r="AN59"/>
  <c r="AN61"/>
  <c r="AO59"/>
  <c r="AO61"/>
  <c r="AL58"/>
  <c r="AL59"/>
  <c r="AN58"/>
  <c r="AO58"/>
  <c r="AM58"/>
  <c r="AM59"/>
  <c r="AN60"/>
  <c r="AO60"/>
  <c r="AV188"/>
  <c r="AV186"/>
  <c r="AV189"/>
  <c r="AV187"/>
  <c r="AV149"/>
  <c r="AV147"/>
  <c r="AV148"/>
  <c r="AV146"/>
  <c r="AV165"/>
  <c r="AV163"/>
  <c r="AV164"/>
  <c r="AV162"/>
  <c r="AV44"/>
  <c r="AV42"/>
  <c r="AV45"/>
  <c r="AV43"/>
  <c r="AV114"/>
  <c r="AV116"/>
  <c r="AV115"/>
  <c r="AV117"/>
  <c r="AM133"/>
  <c r="AM131"/>
  <c r="AL133"/>
  <c r="AL131"/>
  <c r="AO133"/>
  <c r="AO131"/>
  <c r="AN133"/>
  <c r="AN131"/>
  <c r="AM132"/>
  <c r="AM130"/>
  <c r="AL132"/>
  <c r="AL130"/>
  <c r="AO132"/>
  <c r="AO130"/>
  <c r="AN132"/>
  <c r="AN130"/>
  <c r="AV19"/>
  <c r="AV21"/>
  <c r="AV18"/>
  <c r="AV20"/>
  <c r="AO125"/>
  <c r="AO123"/>
  <c r="AN125"/>
  <c r="AN123"/>
  <c r="AM125"/>
  <c r="AM123"/>
  <c r="AL125"/>
  <c r="AL123"/>
  <c r="AO124"/>
  <c r="AO122"/>
  <c r="AN124"/>
  <c r="AN122"/>
  <c r="AM124"/>
  <c r="AM122"/>
  <c r="AL124"/>
  <c r="AL122"/>
  <c r="AM155"/>
  <c r="AM157"/>
  <c r="AL155"/>
  <c r="AL157"/>
  <c r="AO155"/>
  <c r="AO157"/>
  <c r="AN155"/>
  <c r="AN157"/>
  <c r="AM154"/>
  <c r="AM156"/>
  <c r="AL154"/>
  <c r="AL156"/>
  <c r="AO154"/>
  <c r="AO156"/>
  <c r="AN154"/>
  <c r="AN156"/>
  <c r="AV156"/>
  <c r="AV154"/>
  <c r="AV157"/>
  <c r="AV155"/>
  <c r="AM148"/>
  <c r="AM146"/>
  <c r="AL148"/>
  <c r="AL146"/>
  <c r="AO148"/>
  <c r="AN148"/>
  <c r="AO149"/>
  <c r="AN149"/>
  <c r="AM149"/>
  <c r="AL149"/>
  <c r="AO146"/>
  <c r="AO147"/>
  <c r="AM147"/>
  <c r="AL147"/>
  <c r="AN146"/>
  <c r="AN147"/>
  <c r="AN109"/>
  <c r="AN107"/>
  <c r="AO109"/>
  <c r="AO107"/>
  <c r="AL109"/>
  <c r="AL107"/>
  <c r="AM109"/>
  <c r="AM107"/>
  <c r="AN108"/>
  <c r="AN106"/>
  <c r="AO108"/>
  <c r="AO106"/>
  <c r="AL108"/>
  <c r="AL106"/>
  <c r="AM108"/>
  <c r="AM106"/>
  <c r="AO93"/>
  <c r="AO91"/>
  <c r="AN93"/>
  <c r="AN91"/>
  <c r="AM93"/>
  <c r="AM91"/>
  <c r="AL93"/>
  <c r="AL91"/>
  <c r="AN92"/>
  <c r="AM92"/>
  <c r="AL92"/>
  <c r="AO92"/>
  <c r="AO90"/>
  <c r="AN90"/>
  <c r="AM90"/>
  <c r="AL90"/>
  <c r="AL195"/>
  <c r="AL197"/>
  <c r="AM195"/>
  <c r="AM197"/>
  <c r="AN195"/>
  <c r="AN197"/>
  <c r="AO195"/>
  <c r="AO197"/>
  <c r="AO196"/>
  <c r="AL194"/>
  <c r="AL196"/>
  <c r="AM194"/>
  <c r="AM196"/>
  <c r="AN194"/>
  <c r="AN196"/>
  <c r="AO194"/>
  <c r="AV173"/>
  <c r="AV171"/>
  <c r="AV172"/>
  <c r="AV170"/>
  <c r="AN75"/>
  <c r="AN77"/>
  <c r="AO75"/>
  <c r="AO77"/>
  <c r="AL76"/>
  <c r="AM76"/>
  <c r="AL77"/>
  <c r="AM77"/>
  <c r="AN74"/>
  <c r="AN76"/>
  <c r="AO74"/>
  <c r="AO76"/>
  <c r="AL74"/>
  <c r="AM74"/>
  <c r="AL75"/>
  <c r="AM75"/>
  <c r="AO67"/>
  <c r="AO69"/>
  <c r="AN67"/>
  <c r="AN69"/>
  <c r="AM67"/>
  <c r="AM69"/>
  <c r="AL67"/>
  <c r="AL69"/>
  <c r="AO66"/>
  <c r="AO68"/>
  <c r="AN66"/>
  <c r="AN68"/>
  <c r="AM66"/>
  <c r="AM68"/>
  <c r="AL66"/>
  <c r="AL68"/>
  <c r="AV26"/>
  <c r="AV29"/>
  <c r="AV27"/>
  <c r="AV28"/>
  <c r="AN99"/>
  <c r="AN101"/>
  <c r="AO99"/>
  <c r="AO101"/>
  <c r="AL99"/>
  <c r="AL101"/>
  <c r="AM99"/>
  <c r="AM101"/>
  <c r="AN98"/>
  <c r="AO98"/>
  <c r="AL98"/>
  <c r="AM98"/>
  <c r="AN100"/>
  <c r="AO100"/>
  <c r="AL100"/>
  <c r="AM100"/>
  <c r="AN83"/>
  <c r="AN85"/>
  <c r="AO84"/>
  <c r="AN84"/>
  <c r="AL83"/>
  <c r="AL85"/>
  <c r="AM83"/>
  <c r="AM85"/>
  <c r="AO85"/>
  <c r="AM82"/>
  <c r="AN82"/>
  <c r="AO83"/>
  <c r="AL84"/>
  <c r="AO82"/>
  <c r="AM84"/>
  <c r="AL82"/>
  <c r="AV37"/>
  <c r="AV35"/>
  <c r="AV36"/>
  <c r="AV34"/>
  <c r="AM37"/>
  <c r="AM35"/>
  <c r="AL37"/>
  <c r="AL35"/>
  <c r="AO37"/>
  <c r="AO35"/>
  <c r="AN37"/>
  <c r="AN35"/>
  <c r="AM36"/>
  <c r="AL36"/>
  <c r="AO36"/>
  <c r="AN36"/>
  <c r="AM34"/>
  <c r="AL34"/>
  <c r="AO34"/>
  <c r="AN34"/>
  <c r="AV61"/>
  <c r="AV59"/>
  <c r="AV60"/>
  <c r="AV58"/>
  <c r="AV90"/>
  <c r="AV92"/>
  <c r="AV91"/>
  <c r="AV93"/>
  <c r="AV196"/>
  <c r="AV194"/>
  <c r="AV197"/>
  <c r="AV195"/>
  <c r="AM171"/>
  <c r="AM173"/>
  <c r="AL171"/>
  <c r="AL173"/>
  <c r="AO170"/>
  <c r="AO172"/>
  <c r="AN170"/>
  <c r="AN172"/>
  <c r="AM170"/>
  <c r="AM172"/>
  <c r="AL170"/>
  <c r="AL172"/>
  <c r="AN173"/>
  <c r="AO171"/>
  <c r="AO173"/>
  <c r="AN171"/>
  <c r="AV74"/>
  <c r="AV76"/>
  <c r="AV75"/>
  <c r="AV77"/>
  <c r="AV66"/>
  <c r="AV68"/>
  <c r="AV67"/>
  <c r="AV69"/>
  <c r="AO28"/>
  <c r="AO26"/>
  <c r="AN28"/>
  <c r="AN26"/>
  <c r="AM28"/>
  <c r="AM26"/>
  <c r="AL28"/>
  <c r="AL26"/>
  <c r="AO29"/>
  <c r="AO27"/>
  <c r="AN29"/>
  <c r="AN27"/>
  <c r="AM29"/>
  <c r="AM27"/>
  <c r="AL29"/>
  <c r="AL27"/>
  <c r="AV99"/>
  <c r="AV101"/>
  <c r="AV98"/>
  <c r="AV100"/>
  <c r="AV84"/>
  <c r="AV82"/>
  <c r="AV85"/>
  <c r="AV83"/>
  <c r="AQ178" l="1" a="1"/>
  <c r="AR179" s="1"/>
  <c r="AQ138" a="1"/>
  <c r="AT138" s="1"/>
  <c r="AQ82" a="1"/>
  <c r="AQ85" s="1"/>
  <c r="AQ122" a="1"/>
  <c r="AT124" s="1"/>
  <c r="AQ90" a="1"/>
  <c r="AR92" s="1"/>
  <c r="AQ18" a="1"/>
  <c r="AR18" s="1"/>
  <c r="AQ50" a="1"/>
  <c r="AR51" s="1"/>
  <c r="AQ170" a="1"/>
  <c r="AQ194" a="1"/>
  <c r="AQ106" a="1"/>
  <c r="AQ146" a="1"/>
  <c r="AQ130" a="1"/>
  <c r="AQ10" a="1"/>
  <c r="AQ114" a="1"/>
  <c r="AQ186" a="1"/>
  <c r="AQ26" a="1"/>
  <c r="AQ34" a="1"/>
  <c r="AQ98" a="1"/>
  <c r="AQ66" a="1"/>
  <c r="AQ74" a="1"/>
  <c r="AQ154" a="1"/>
  <c r="AQ58" a="1"/>
  <c r="AQ42" a="1"/>
  <c r="AQ162" a="1"/>
  <c r="AT180" l="1"/>
  <c r="AT181"/>
  <c r="AR178"/>
  <c r="AR181"/>
  <c r="AS180"/>
  <c r="AQ180"/>
  <c r="AS181"/>
  <c r="AR180"/>
  <c r="AQ179"/>
  <c r="AT178"/>
  <c r="AT179"/>
  <c r="AS178"/>
  <c r="AQ178"/>
  <c r="AS179"/>
  <c r="AQ181"/>
  <c r="AQ124"/>
  <c r="AS122"/>
  <c r="AS124"/>
  <c r="AQ122"/>
  <c r="AR85"/>
  <c r="AR124"/>
  <c r="AQ123"/>
  <c r="AT122"/>
  <c r="AR122"/>
  <c r="AT84"/>
  <c r="AQ125"/>
  <c r="AT125"/>
  <c r="AT123"/>
  <c r="AS140"/>
  <c r="AS125"/>
  <c r="AR123"/>
  <c r="AQ82"/>
  <c r="AR82"/>
  <c r="AQ141"/>
  <c r="AS85"/>
  <c r="AQ140"/>
  <c r="AS141"/>
  <c r="AS83"/>
  <c r="AS84"/>
  <c r="AQ83"/>
  <c r="AR83"/>
  <c r="AR141"/>
  <c r="AT141"/>
  <c r="AR140"/>
  <c r="AT140"/>
  <c r="AT83"/>
  <c r="AT82"/>
  <c r="AQ139"/>
  <c r="AS139"/>
  <c r="AQ138"/>
  <c r="AS138"/>
  <c r="AQ84"/>
  <c r="AR84"/>
  <c r="AR139"/>
  <c r="AT139"/>
  <c r="AR138"/>
  <c r="AT85"/>
  <c r="AR125"/>
  <c r="AS82"/>
  <c r="AS123"/>
  <c r="AQ90"/>
  <c r="AS90"/>
  <c r="AQ91"/>
  <c r="AS91"/>
  <c r="AQ92"/>
  <c r="AS93"/>
  <c r="AT91"/>
  <c r="AT90"/>
  <c r="AT93"/>
  <c r="AT92"/>
  <c r="AS92"/>
  <c r="AQ93"/>
  <c r="AR91"/>
  <c r="AR90"/>
  <c r="AR93"/>
  <c r="AQ21"/>
  <c r="AS21"/>
  <c r="AQ18"/>
  <c r="AQ19"/>
  <c r="AT18"/>
  <c r="AR21"/>
  <c r="AT21"/>
  <c r="AQ20"/>
  <c r="AR19"/>
  <c r="AR20"/>
  <c r="AT20"/>
  <c r="AS19"/>
  <c r="AS20"/>
  <c r="AT19"/>
  <c r="AS18"/>
  <c r="AS50"/>
  <c r="AR53"/>
  <c r="AQ50"/>
  <c r="AR52"/>
  <c r="AT50"/>
  <c r="AR50"/>
  <c r="AT53"/>
  <c r="AT52"/>
  <c r="AQ53"/>
  <c r="AS53"/>
  <c r="AQ52"/>
  <c r="AS52"/>
  <c r="AS51"/>
  <c r="AT51"/>
  <c r="AQ51"/>
  <c r="AT164"/>
  <c r="AR164"/>
  <c r="AQ163"/>
  <c r="AT162"/>
  <c r="AS163"/>
  <c r="AR163"/>
  <c r="AT165"/>
  <c r="AS162"/>
  <c r="AT163"/>
  <c r="AQ165"/>
  <c r="AQ162"/>
  <c r="AQ164"/>
  <c r="AR162"/>
  <c r="AS165"/>
  <c r="AR165"/>
  <c r="AS164"/>
  <c r="AQ58"/>
  <c r="AS61"/>
  <c r="AQ59"/>
  <c r="AR58"/>
  <c r="AT60"/>
  <c r="AR59"/>
  <c r="AT61"/>
  <c r="AS60"/>
  <c r="AR60"/>
  <c r="AQ60"/>
  <c r="AR61"/>
  <c r="AQ61"/>
  <c r="AS58"/>
  <c r="AT58"/>
  <c r="AS59"/>
  <c r="AT59"/>
  <c r="AT74"/>
  <c r="AT76"/>
  <c r="AS74"/>
  <c r="AS76"/>
  <c r="AR74"/>
  <c r="AR76"/>
  <c r="AQ74"/>
  <c r="AQ76"/>
  <c r="AT75"/>
  <c r="AT77"/>
  <c r="AS75"/>
  <c r="AS77"/>
  <c r="AR75"/>
  <c r="AR77"/>
  <c r="AQ75"/>
  <c r="AQ77"/>
  <c r="AR100"/>
  <c r="AR98"/>
  <c r="AQ100"/>
  <c r="AQ98"/>
  <c r="AT100"/>
  <c r="AT98"/>
  <c r="AS100"/>
  <c r="AS98"/>
  <c r="AR101"/>
  <c r="AR99"/>
  <c r="AQ101"/>
  <c r="AQ99"/>
  <c r="AT101"/>
  <c r="AT99"/>
  <c r="AS101"/>
  <c r="AS99"/>
  <c r="AR26"/>
  <c r="AR28"/>
  <c r="AQ26"/>
  <c r="AQ28"/>
  <c r="AT26"/>
  <c r="AT28"/>
  <c r="AS26"/>
  <c r="AS28"/>
  <c r="AR27"/>
  <c r="AR29"/>
  <c r="AQ27"/>
  <c r="AQ29"/>
  <c r="AT27"/>
  <c r="AT29"/>
  <c r="AS27"/>
  <c r="AS29"/>
  <c r="AT189"/>
  <c r="AT187"/>
  <c r="AS189"/>
  <c r="AS187"/>
  <c r="AR189"/>
  <c r="AR187"/>
  <c r="AQ189"/>
  <c r="AQ187"/>
  <c r="AT188"/>
  <c r="AT186"/>
  <c r="AS188"/>
  <c r="AS186"/>
  <c r="AR188"/>
  <c r="AR186"/>
  <c r="AQ188"/>
  <c r="AQ186"/>
  <c r="AQ10"/>
  <c r="AQ12"/>
  <c r="AR10"/>
  <c r="AR12"/>
  <c r="AS10"/>
  <c r="AS12"/>
  <c r="AT10"/>
  <c r="AT12"/>
  <c r="AQ11"/>
  <c r="AQ13"/>
  <c r="AR11"/>
  <c r="AR13"/>
  <c r="AS11"/>
  <c r="AS13"/>
  <c r="AT11"/>
  <c r="AT13"/>
  <c r="AR148"/>
  <c r="AR146"/>
  <c r="AQ148"/>
  <c r="AQ146"/>
  <c r="AT148"/>
  <c r="AT146"/>
  <c r="AS148"/>
  <c r="AS146"/>
  <c r="AR149"/>
  <c r="AR147"/>
  <c r="AQ149"/>
  <c r="AQ147"/>
  <c r="AT149"/>
  <c r="AT147"/>
  <c r="AS149"/>
  <c r="AS147"/>
  <c r="AS196"/>
  <c r="AS194"/>
  <c r="AR197"/>
  <c r="AQ197"/>
  <c r="AR194"/>
  <c r="AQ196"/>
  <c r="AR196"/>
  <c r="AT196"/>
  <c r="AT197"/>
  <c r="AT195"/>
  <c r="AS197"/>
  <c r="AS195"/>
  <c r="AR195"/>
  <c r="AQ195"/>
  <c r="AQ194"/>
  <c r="AT194"/>
  <c r="AQ43"/>
  <c r="AQ45"/>
  <c r="AR43"/>
  <c r="AR45"/>
  <c r="AS42"/>
  <c r="AS44"/>
  <c r="AT42"/>
  <c r="AS43"/>
  <c r="AQ42"/>
  <c r="AQ44"/>
  <c r="AR42"/>
  <c r="AR44"/>
  <c r="AS45"/>
  <c r="AT43"/>
  <c r="AT44"/>
  <c r="AT45"/>
  <c r="AQ156"/>
  <c r="AQ154"/>
  <c r="AR156"/>
  <c r="AR154"/>
  <c r="AS156"/>
  <c r="AS154"/>
  <c r="AT156"/>
  <c r="AT154"/>
  <c r="AQ157"/>
  <c r="AQ155"/>
  <c r="AR157"/>
  <c r="AR155"/>
  <c r="AS157"/>
  <c r="AS155"/>
  <c r="AT157"/>
  <c r="AT155"/>
  <c r="AR66"/>
  <c r="AR68"/>
  <c r="AQ66"/>
  <c r="AQ68"/>
  <c r="AT67"/>
  <c r="AS67"/>
  <c r="AT66"/>
  <c r="AS66"/>
  <c r="AR67"/>
  <c r="AR69"/>
  <c r="AQ67"/>
  <c r="AQ69"/>
  <c r="AT69"/>
  <c r="AS69"/>
  <c r="AT68"/>
  <c r="AS68"/>
  <c r="AS36"/>
  <c r="AS34"/>
  <c r="AT36"/>
  <c r="AT34"/>
  <c r="AQ36"/>
  <c r="AQ34"/>
  <c r="AR36"/>
  <c r="AR34"/>
  <c r="AS37"/>
  <c r="AS35"/>
  <c r="AT37"/>
  <c r="AT35"/>
  <c r="AQ37"/>
  <c r="AQ35"/>
  <c r="AR37"/>
  <c r="AR35"/>
  <c r="AS114"/>
  <c r="AS116"/>
  <c r="AT114"/>
  <c r="AT116"/>
  <c r="AQ114"/>
  <c r="AQ116"/>
  <c r="AR114"/>
  <c r="AR116"/>
  <c r="AS115"/>
  <c r="AS117"/>
  <c r="AT115"/>
  <c r="AT117"/>
  <c r="AQ115"/>
  <c r="AQ117"/>
  <c r="AR115"/>
  <c r="AR117"/>
  <c r="AQ131"/>
  <c r="AQ133"/>
  <c r="AR131"/>
  <c r="AR133"/>
  <c r="AS131"/>
  <c r="AS133"/>
  <c r="AT131"/>
  <c r="AT133"/>
  <c r="AQ130"/>
  <c r="AQ132"/>
  <c r="AR130"/>
  <c r="AR132"/>
  <c r="AS130"/>
  <c r="AS132"/>
  <c r="AT130"/>
  <c r="AT132"/>
  <c r="AS109"/>
  <c r="AS107"/>
  <c r="AT109"/>
  <c r="AT107"/>
  <c r="AQ109"/>
  <c r="AQ107"/>
  <c r="AR109"/>
  <c r="AR107"/>
  <c r="AS108"/>
  <c r="AS106"/>
  <c r="AT108"/>
  <c r="AT106"/>
  <c r="AQ108"/>
  <c r="AQ106"/>
  <c r="AR108"/>
  <c r="AR106"/>
  <c r="AT171"/>
  <c r="AT173"/>
  <c r="AS171"/>
  <c r="AS173"/>
  <c r="AR171"/>
  <c r="AR173"/>
  <c r="AQ171"/>
  <c r="AQ173"/>
  <c r="AT170"/>
  <c r="AT172"/>
  <c r="AS170"/>
  <c r="AS172"/>
  <c r="AR170"/>
  <c r="AR172"/>
  <c r="AQ170"/>
  <c r="AQ172"/>
  <c r="AX178" l="1" a="1"/>
  <c r="AX138" a="1"/>
  <c r="AX140" s="1"/>
  <c r="BF138" s="1"/>
  <c r="AX90" a="1"/>
  <c r="AX91" s="1"/>
  <c r="BE90" s="1"/>
  <c r="AX122" a="1"/>
  <c r="AX122" s="1"/>
  <c r="AX82" a="1"/>
  <c r="AX84" s="1"/>
  <c r="BF82" s="1"/>
  <c r="AX18" a="1"/>
  <c r="AX21" s="1"/>
  <c r="BG18" s="1"/>
  <c r="AX50" a="1"/>
  <c r="AX52" s="1"/>
  <c r="BF50" s="1"/>
  <c r="AX186" a="1"/>
  <c r="AX186" s="1"/>
  <c r="AX180"/>
  <c r="BF178" s="1"/>
  <c r="AX178"/>
  <c r="AX181"/>
  <c r="BG178" s="1"/>
  <c r="AX179"/>
  <c r="BE178" s="1"/>
  <c r="AX106" a="1"/>
  <c r="AX34" a="1"/>
  <c r="AX154" a="1"/>
  <c r="AX146" a="1"/>
  <c r="AX98" a="1"/>
  <c r="AX170" a="1"/>
  <c r="AX130" a="1"/>
  <c r="AX114" a="1"/>
  <c r="AX66" a="1"/>
  <c r="AX42" a="1"/>
  <c r="AX194" a="1"/>
  <c r="AX10" a="1"/>
  <c r="AX26" a="1"/>
  <c r="AX74" a="1"/>
  <c r="AX58" a="1"/>
  <c r="AX162" a="1"/>
  <c r="BA182" l="1"/>
  <c r="BA183"/>
  <c r="BA184"/>
  <c r="BA178"/>
  <c r="BA179"/>
  <c r="BA180"/>
  <c r="BA181"/>
  <c r="BD122"/>
  <c r="AX141"/>
  <c r="BG138" s="1"/>
  <c r="AX139"/>
  <c r="BE138" s="1"/>
  <c r="AX138"/>
  <c r="AX50"/>
  <c r="AX125"/>
  <c r="BG122" s="1"/>
  <c r="AX53"/>
  <c r="BG50" s="1"/>
  <c r="AX85"/>
  <c r="BG82" s="1"/>
  <c r="AX51"/>
  <c r="BE50" s="1"/>
  <c r="AX82"/>
  <c r="AX83"/>
  <c r="BE82" s="1"/>
  <c r="AX92"/>
  <c r="BF90" s="1"/>
  <c r="AX123"/>
  <c r="BE122" s="1"/>
  <c r="AX93"/>
  <c r="BG90" s="1"/>
  <c r="AX124"/>
  <c r="BF122" s="1"/>
  <c r="AX90"/>
  <c r="AX20"/>
  <c r="BF18" s="1"/>
  <c r="BD186"/>
  <c r="AX19"/>
  <c r="BE18" s="1"/>
  <c r="AX18"/>
  <c r="AX188"/>
  <c r="BF186" s="1"/>
  <c r="AX187"/>
  <c r="BA188" s="1"/>
  <c r="AX189"/>
  <c r="BG186" s="1"/>
  <c r="AX164"/>
  <c r="BF162" s="1"/>
  <c r="AX165"/>
  <c r="BG162" s="1"/>
  <c r="AX162"/>
  <c r="AX163"/>
  <c r="BE162" s="1"/>
  <c r="AX77"/>
  <c r="BG74" s="1"/>
  <c r="AX75"/>
  <c r="BE74" s="1"/>
  <c r="AX76"/>
  <c r="BF74" s="1"/>
  <c r="AX74"/>
  <c r="AX13"/>
  <c r="BG10" s="1"/>
  <c r="AX11"/>
  <c r="BE10" s="1"/>
  <c r="AX12"/>
  <c r="BF10" s="1"/>
  <c r="AX10"/>
  <c r="AX45"/>
  <c r="BG42" s="1"/>
  <c r="AX43"/>
  <c r="BE42" s="1"/>
  <c r="AX44"/>
  <c r="BF42" s="1"/>
  <c r="AX42"/>
  <c r="AX114"/>
  <c r="AX115"/>
  <c r="BE114" s="1"/>
  <c r="AX116"/>
  <c r="BF114" s="1"/>
  <c r="AX117"/>
  <c r="BG114" s="1"/>
  <c r="AX172"/>
  <c r="BF170" s="1"/>
  <c r="AX170"/>
  <c r="AX171"/>
  <c r="BE170" s="1"/>
  <c r="AX173"/>
  <c r="BG170" s="1"/>
  <c r="AX98"/>
  <c r="AX101"/>
  <c r="BG98" s="1"/>
  <c r="AX99"/>
  <c r="BE98" s="1"/>
  <c r="AX100"/>
  <c r="BF98" s="1"/>
  <c r="AX157"/>
  <c r="BG154" s="1"/>
  <c r="AX155"/>
  <c r="BE154" s="1"/>
  <c r="AX156"/>
  <c r="BF154" s="1"/>
  <c r="AX154"/>
  <c r="AX108"/>
  <c r="BF106" s="1"/>
  <c r="AX106"/>
  <c r="AX109"/>
  <c r="BG106" s="1"/>
  <c r="AX107"/>
  <c r="BE106" s="1"/>
  <c r="AX60"/>
  <c r="BF58" s="1"/>
  <c r="AX58"/>
  <c r="AX61"/>
  <c r="BG58" s="1"/>
  <c r="AX59"/>
  <c r="BE58" s="1"/>
  <c r="AX29"/>
  <c r="BG26" s="1"/>
  <c r="AX28"/>
  <c r="BF26" s="1"/>
  <c r="AX26"/>
  <c r="AX27"/>
  <c r="BE26" s="1"/>
  <c r="AX197"/>
  <c r="BG194" s="1"/>
  <c r="AX196"/>
  <c r="BF194" s="1"/>
  <c r="AX195"/>
  <c r="BE194" s="1"/>
  <c r="AX194"/>
  <c r="AX66"/>
  <c r="AX68"/>
  <c r="BF66" s="1"/>
  <c r="AX69"/>
  <c r="BG66" s="1"/>
  <c r="AX67"/>
  <c r="BE66" s="1"/>
  <c r="AX130"/>
  <c r="AX132"/>
  <c r="BF130" s="1"/>
  <c r="AX133"/>
  <c r="BG130" s="1"/>
  <c r="AX131"/>
  <c r="BE130" s="1"/>
  <c r="AX147"/>
  <c r="BE146" s="1"/>
  <c r="AX148"/>
  <c r="BF146" s="1"/>
  <c r="AX146"/>
  <c r="AX149"/>
  <c r="BG146" s="1"/>
  <c r="AX37"/>
  <c r="BG34" s="1"/>
  <c r="AX35"/>
  <c r="BE34" s="1"/>
  <c r="AX34"/>
  <c r="AX36"/>
  <c r="BF34" s="1"/>
  <c r="BD138"/>
  <c r="BD178"/>
  <c r="BH178"/>
  <c r="BH138"/>
  <c r="BJ122"/>
  <c r="BJ138"/>
  <c r="BJ178"/>
  <c r="BM178"/>
  <c r="BN138"/>
  <c r="BI178"/>
  <c r="BL178"/>
  <c r="BI122"/>
  <c r="BI138"/>
  <c r="BO178"/>
  <c r="BH122"/>
  <c r="BM138"/>
  <c r="BM122"/>
  <c r="BL138"/>
  <c r="BP138"/>
  <c r="BO122"/>
  <c r="BP122"/>
  <c r="BN122"/>
  <c r="BA35" l="1"/>
  <c r="BA38"/>
  <c r="BA37"/>
  <c r="BA36"/>
  <c r="BA40"/>
  <c r="BA39"/>
  <c r="BA34"/>
  <c r="BA149"/>
  <c r="BA150"/>
  <c r="BA147"/>
  <c r="BA152"/>
  <c r="BA146"/>
  <c r="BA148"/>
  <c r="BA151"/>
  <c r="BA32"/>
  <c r="BA31"/>
  <c r="BA30"/>
  <c r="BA27"/>
  <c r="BA28"/>
  <c r="BA26"/>
  <c r="BA29"/>
  <c r="BA163"/>
  <c r="BA167"/>
  <c r="BA165"/>
  <c r="BA164"/>
  <c r="BA166"/>
  <c r="BA162"/>
  <c r="BA168"/>
  <c r="BD82"/>
  <c r="BA82"/>
  <c r="BA83"/>
  <c r="BA85"/>
  <c r="BA87"/>
  <c r="BA84"/>
  <c r="BA86"/>
  <c r="BA88"/>
  <c r="BA195"/>
  <c r="BA196"/>
  <c r="BA194"/>
  <c r="BA198"/>
  <c r="BA197"/>
  <c r="BA200"/>
  <c r="BA199"/>
  <c r="BA157"/>
  <c r="BA156"/>
  <c r="BA160"/>
  <c r="BA159"/>
  <c r="BA154"/>
  <c r="BA155"/>
  <c r="BA158"/>
  <c r="BA43"/>
  <c r="BA47"/>
  <c r="BA45"/>
  <c r="BA46"/>
  <c r="BA48"/>
  <c r="BA44"/>
  <c r="BA42"/>
  <c r="BA12"/>
  <c r="BA15"/>
  <c r="BA10"/>
  <c r="BA14"/>
  <c r="BA11"/>
  <c r="BA13"/>
  <c r="BA16"/>
  <c r="BA74"/>
  <c r="BA76"/>
  <c r="BA75"/>
  <c r="BA78"/>
  <c r="BA79"/>
  <c r="BA77"/>
  <c r="BA80"/>
  <c r="BA130"/>
  <c r="BA135"/>
  <c r="BA136"/>
  <c r="BA133"/>
  <c r="BA132"/>
  <c r="BA131"/>
  <c r="BA134"/>
  <c r="BA67"/>
  <c r="BA70"/>
  <c r="BA68"/>
  <c r="BA71"/>
  <c r="BA66"/>
  <c r="BA72"/>
  <c r="BA69"/>
  <c r="BA99"/>
  <c r="BA104"/>
  <c r="BA102"/>
  <c r="BA98"/>
  <c r="BA101"/>
  <c r="BA103"/>
  <c r="BA100"/>
  <c r="BA117"/>
  <c r="BA116"/>
  <c r="BA114"/>
  <c r="BA119"/>
  <c r="BA115"/>
  <c r="BA118"/>
  <c r="BA120"/>
  <c r="BA19"/>
  <c r="BA22"/>
  <c r="BA18"/>
  <c r="BA23"/>
  <c r="BA20"/>
  <c r="BA24"/>
  <c r="BA21"/>
  <c r="BA91"/>
  <c r="BA94"/>
  <c r="BA90"/>
  <c r="BA95"/>
  <c r="BA93"/>
  <c r="BA96"/>
  <c r="BA92"/>
  <c r="BA140"/>
  <c r="BA141"/>
  <c r="BA138"/>
  <c r="BA144"/>
  <c r="BA143"/>
  <c r="BA142"/>
  <c r="BA139"/>
  <c r="BA125"/>
  <c r="BA127"/>
  <c r="BA190"/>
  <c r="BA124"/>
  <c r="BA189"/>
  <c r="BA191"/>
  <c r="BA122"/>
  <c r="BA123"/>
  <c r="BA128"/>
  <c r="BA192"/>
  <c r="BA186"/>
  <c r="BA187"/>
  <c r="BA59"/>
  <c r="BA60"/>
  <c r="BA58"/>
  <c r="BA64"/>
  <c r="BA61"/>
  <c r="BA62"/>
  <c r="BA63"/>
  <c r="BA108"/>
  <c r="BA109"/>
  <c r="BA110"/>
  <c r="BA112"/>
  <c r="BA107"/>
  <c r="BA106"/>
  <c r="BA111"/>
  <c r="BA170"/>
  <c r="BA174"/>
  <c r="BA171"/>
  <c r="BA173"/>
  <c r="BA172"/>
  <c r="BA176"/>
  <c r="BA175"/>
  <c r="BD50"/>
  <c r="BA50"/>
  <c r="BA55"/>
  <c r="BA52"/>
  <c r="BA51"/>
  <c r="BA54"/>
  <c r="BA56"/>
  <c r="BA53"/>
  <c r="BA126"/>
  <c r="BS124"/>
  <c r="BU123"/>
  <c r="A17" i="14"/>
  <c r="A17" i="15" s="1"/>
  <c r="BS123" i="13"/>
  <c r="BS122"/>
  <c r="BU122"/>
  <c r="BU124"/>
  <c r="B17" i="14"/>
  <c r="B17" i="15" s="1"/>
  <c r="BT123" i="13"/>
  <c r="BT122"/>
  <c r="BD90"/>
  <c r="BD18"/>
  <c r="B24" i="14"/>
  <c r="B24" i="15" s="1"/>
  <c r="A24" i="14"/>
  <c r="A24" i="15" s="1"/>
  <c r="B19" i="14"/>
  <c r="B19" i="15" s="1"/>
  <c r="A19" i="14"/>
  <c r="A19" i="15" s="1"/>
  <c r="BE186" i="13"/>
  <c r="BT178"/>
  <c r="BT179"/>
  <c r="BS178"/>
  <c r="BS179"/>
  <c r="BS180"/>
  <c r="BU179"/>
  <c r="BU178"/>
  <c r="BU180"/>
  <c r="BT138"/>
  <c r="BT139"/>
  <c r="BU139"/>
  <c r="BU140"/>
  <c r="BS140"/>
  <c r="BS139"/>
  <c r="BU138"/>
  <c r="BS138"/>
  <c r="BD34"/>
  <c r="BD146"/>
  <c r="BD130"/>
  <c r="BD66"/>
  <c r="BD26"/>
  <c r="BD98"/>
  <c r="BD114"/>
  <c r="BD162"/>
  <c r="BD194"/>
  <c r="BD58"/>
  <c r="BD106"/>
  <c r="BD154"/>
  <c r="BD170"/>
  <c r="BD42"/>
  <c r="BD10"/>
  <c r="BD74"/>
  <c r="CZ178"/>
  <c r="BI50"/>
  <c r="BJ82"/>
  <c r="BJ42"/>
  <c r="BI90"/>
  <c r="BI34"/>
  <c r="BI42"/>
  <c r="BJ58"/>
  <c r="BI154"/>
  <c r="BH154"/>
  <c r="BJ98"/>
  <c r="BO42"/>
  <c r="BH26"/>
  <c r="BH130"/>
  <c r="BM130"/>
  <c r="BJ66"/>
  <c r="BI194"/>
  <c r="BO194"/>
  <c r="BH98"/>
  <c r="BN178"/>
  <c r="BH18"/>
  <c r="BI66"/>
  <c r="BP90"/>
  <c r="BQ194"/>
  <c r="BN98"/>
  <c r="BN18"/>
  <c r="BP50"/>
  <c r="BQ122"/>
  <c r="BH82"/>
  <c r="BJ114"/>
  <c r="BH114"/>
  <c r="BH74"/>
  <c r="BJ74"/>
  <c r="BN114"/>
  <c r="BH194"/>
  <c r="BI162"/>
  <c r="BQ90"/>
  <c r="BH90"/>
  <c r="BJ162"/>
  <c r="BJ194"/>
  <c r="BJ106"/>
  <c r="BO90"/>
  <c r="BH162"/>
  <c r="BJ18"/>
  <c r="BL26"/>
  <c r="BH106"/>
  <c r="BP162"/>
  <c r="BM18"/>
  <c r="BM90"/>
  <c r="BM98"/>
  <c r="BL82"/>
  <c r="BO138"/>
  <c r="BJ50"/>
  <c r="BP178"/>
  <c r="BI146"/>
  <c r="BJ146"/>
  <c r="BI114"/>
  <c r="BI58"/>
  <c r="BQ114"/>
  <c r="BI18"/>
  <c r="BH42"/>
  <c r="BL114"/>
  <c r="BH146"/>
  <c r="BH66"/>
  <c r="BO162"/>
  <c r="BQ138"/>
  <c r="BO34"/>
  <c r="BI186"/>
  <c r="BI10"/>
  <c r="BL122"/>
  <c r="BH170"/>
  <c r="BL42"/>
  <c r="BJ90"/>
  <c r="BI106"/>
  <c r="BJ34"/>
  <c r="BI74"/>
  <c r="BL146"/>
  <c r="BN42"/>
  <c r="BN66"/>
  <c r="BQ42"/>
  <c r="BL154"/>
  <c r="BP186"/>
  <c r="BO10"/>
  <c r="BP106"/>
  <c r="BO50"/>
  <c r="BM82"/>
  <c r="BH50"/>
  <c r="BI82"/>
  <c r="BJ186"/>
  <c r="BJ170"/>
  <c r="BH186"/>
  <c r="BQ34"/>
  <c r="BP34"/>
  <c r="BJ10"/>
  <c r="BI98"/>
  <c r="BL186"/>
  <c r="BN154"/>
  <c r="BJ154"/>
  <c r="BM66"/>
  <c r="BQ58"/>
  <c r="BH10"/>
  <c r="BI130"/>
  <c r="BH58"/>
  <c r="BO58"/>
  <c r="BJ26"/>
  <c r="BM26"/>
  <c r="BQ178"/>
  <c r="BH34"/>
  <c r="BN146"/>
  <c r="BJ130"/>
  <c r="BI170"/>
  <c r="BN34"/>
  <c r="BI26"/>
  <c r="BO98"/>
  <c r="BL130"/>
  <c r="BM154"/>
  <c r="BN90"/>
  <c r="BP130"/>
  <c r="BP10"/>
  <c r="BO106"/>
  <c r="BL18"/>
  <c r="BO26"/>
  <c r="BQ50"/>
  <c r="BN50"/>
  <c r="BQ82"/>
  <c r="BN74"/>
  <c r="BM74"/>
  <c r="BM194"/>
  <c r="BN194"/>
  <c r="BQ146"/>
  <c r="BO146"/>
  <c r="BO18"/>
  <c r="BQ18"/>
  <c r="BP18"/>
  <c r="BM50"/>
  <c r="BL50"/>
  <c r="BP82"/>
  <c r="BO82"/>
  <c r="BP98"/>
  <c r="BM10"/>
  <c r="BL10"/>
  <c r="BO130"/>
  <c r="BQ130"/>
  <c r="BQ170"/>
  <c r="BO170"/>
  <c r="BQ26"/>
  <c r="BP26"/>
  <c r="BN82"/>
  <c r="BM114"/>
  <c r="BL90"/>
  <c r="BM162"/>
  <c r="BL106"/>
  <c r="BO114"/>
  <c r="BM42"/>
  <c r="BM146"/>
  <c r="BL66"/>
  <c r="BQ10"/>
  <c r="BO74"/>
  <c r="BM58"/>
  <c r="BT82" l="1"/>
  <c r="BT83"/>
  <c r="B12" i="14"/>
  <c r="B12" i="15" s="1"/>
  <c r="A12" i="14"/>
  <c r="A12" i="15" s="1"/>
  <c r="BS84" i="13"/>
  <c r="BS82"/>
  <c r="BU82"/>
  <c r="BU83"/>
  <c r="BS83"/>
  <c r="BU84"/>
  <c r="A8" i="14"/>
  <c r="A8" i="15" s="1"/>
  <c r="BU50" i="13"/>
  <c r="BU51"/>
  <c r="BS50"/>
  <c r="BS51"/>
  <c r="BS52"/>
  <c r="BU52"/>
  <c r="BT50"/>
  <c r="B8" i="14"/>
  <c r="B8" i="15" s="1"/>
  <c r="BT51" i="13"/>
  <c r="BX122" a="1"/>
  <c r="BZ123" s="1"/>
  <c r="BU91"/>
  <c r="BS91"/>
  <c r="A13" i="14"/>
  <c r="A13" i="15" s="1"/>
  <c r="BU92" i="13"/>
  <c r="BU90"/>
  <c r="BS90"/>
  <c r="BS92"/>
  <c r="BT90"/>
  <c r="B13" i="14"/>
  <c r="B13" i="15" s="1"/>
  <c r="BT91" i="13"/>
  <c r="BT18"/>
  <c r="BT19"/>
  <c r="B4" i="14"/>
  <c r="B4" i="15" s="1"/>
  <c r="BS19" i="13"/>
  <c r="BU20"/>
  <c r="A4" i="14"/>
  <c r="A4" i="15" s="1"/>
  <c r="BS20" i="13"/>
  <c r="BU18"/>
  <c r="BU19"/>
  <c r="BS18"/>
  <c r="B26" i="14"/>
  <c r="B26" i="15" s="1"/>
  <c r="A26" i="14"/>
  <c r="A26" i="15" s="1"/>
  <c r="B5" i="14"/>
  <c r="B5" i="15" s="1"/>
  <c r="A5" i="14"/>
  <c r="A5" i="15" s="1"/>
  <c r="B6" i="14"/>
  <c r="B6" i="15" s="1"/>
  <c r="A6" i="14"/>
  <c r="A6" i="15" s="1"/>
  <c r="B3" i="14"/>
  <c r="B3" i="15" s="1"/>
  <c r="A3" i="14"/>
  <c r="A3" i="15" s="1"/>
  <c r="B23" i="14"/>
  <c r="B23" i="15" s="1"/>
  <c r="A23" i="14"/>
  <c r="A23" i="15" s="1"/>
  <c r="B21" i="14"/>
  <c r="B21" i="15" s="1"/>
  <c r="A21" i="14"/>
  <c r="A21" i="15" s="1"/>
  <c r="B15" i="14"/>
  <c r="B15" i="15" s="1"/>
  <c r="A15" i="14"/>
  <c r="A15" i="15" s="1"/>
  <c r="B9" i="14"/>
  <c r="B9" i="15" s="1"/>
  <c r="A9" i="14"/>
  <c r="A9" i="15" s="1"/>
  <c r="B11" i="14"/>
  <c r="B11" i="15" s="1"/>
  <c r="A11" i="14"/>
  <c r="A11" i="15" s="1"/>
  <c r="B7" i="14"/>
  <c r="B7" i="15" s="1"/>
  <c r="A7" i="14"/>
  <c r="A7" i="15" s="1"/>
  <c r="B22" i="14"/>
  <c r="B22" i="15" s="1"/>
  <c r="A22" i="14"/>
  <c r="A22" i="15" s="1"/>
  <c r="B16" i="14"/>
  <c r="B16" i="15" s="1"/>
  <c r="A16" i="14"/>
  <c r="A16" i="15" s="1"/>
  <c r="B14" i="14"/>
  <c r="B14" i="15" s="1"/>
  <c r="A14" i="14"/>
  <c r="A14" i="15" s="1"/>
  <c r="B10" i="14"/>
  <c r="B10" i="15" s="1"/>
  <c r="A10" i="14"/>
  <c r="A10" i="15" s="1"/>
  <c r="B18" i="14"/>
  <c r="B18" i="15" s="1"/>
  <c r="A18" i="14"/>
  <c r="A18" i="15" s="1"/>
  <c r="B20" i="14"/>
  <c r="B20" i="15" s="1"/>
  <c r="A20" i="14"/>
  <c r="A20" i="15" s="1"/>
  <c r="B25" i="14"/>
  <c r="B25" i="15" s="1"/>
  <c r="A25" i="14"/>
  <c r="A25" i="15" s="1"/>
  <c r="BT187" i="13"/>
  <c r="BT186"/>
  <c r="BS188"/>
  <c r="BS187"/>
  <c r="BU188"/>
  <c r="BU186"/>
  <c r="BS186"/>
  <c r="BU187"/>
  <c r="CZ186"/>
  <c r="CZ170"/>
  <c r="BT163"/>
  <c r="BT162"/>
  <c r="BU162"/>
  <c r="BU163"/>
  <c r="BS162"/>
  <c r="BS164"/>
  <c r="BU164"/>
  <c r="BS163"/>
  <c r="BT115"/>
  <c r="BT114"/>
  <c r="BS115"/>
  <c r="BU116"/>
  <c r="BS116"/>
  <c r="BU114"/>
  <c r="BU115"/>
  <c r="BS114"/>
  <c r="BT98"/>
  <c r="BT99"/>
  <c r="BS100"/>
  <c r="BU99"/>
  <c r="BS99"/>
  <c r="BU98"/>
  <c r="BU100"/>
  <c r="BS98"/>
  <c r="BT26"/>
  <c r="BT27"/>
  <c r="BU27"/>
  <c r="BS27"/>
  <c r="BU26"/>
  <c r="BS28"/>
  <c r="BU28"/>
  <c r="BS26"/>
  <c r="BT66"/>
  <c r="BT67"/>
  <c r="BS67"/>
  <c r="BS66"/>
  <c r="BU66"/>
  <c r="BU67"/>
  <c r="BU68"/>
  <c r="BS68"/>
  <c r="BT130"/>
  <c r="BT131"/>
  <c r="BU132"/>
  <c r="BU130"/>
  <c r="BS131"/>
  <c r="BS130"/>
  <c r="BS132"/>
  <c r="BU131"/>
  <c r="BT146"/>
  <c r="BT147"/>
  <c r="BU147"/>
  <c r="BU146"/>
  <c r="BS148"/>
  <c r="BS147"/>
  <c r="BU148"/>
  <c r="BS146"/>
  <c r="BT34"/>
  <c r="BT35"/>
  <c r="BU35"/>
  <c r="BU34"/>
  <c r="BS35"/>
  <c r="BS36"/>
  <c r="BS34"/>
  <c r="BU36"/>
  <c r="BT74"/>
  <c r="BT75"/>
  <c r="BU76"/>
  <c r="BU74"/>
  <c r="BS75"/>
  <c r="BS74"/>
  <c r="BS76"/>
  <c r="BU75"/>
  <c r="BT11"/>
  <c r="BT10"/>
  <c r="BS12"/>
  <c r="BU11"/>
  <c r="BS11"/>
  <c r="BU12"/>
  <c r="BU10"/>
  <c r="BS10"/>
  <c r="BT42"/>
  <c r="BT43"/>
  <c r="BU42"/>
  <c r="BS42"/>
  <c r="BS43"/>
  <c r="BU43"/>
  <c r="BS44"/>
  <c r="BU44"/>
  <c r="BT170"/>
  <c r="BT171"/>
  <c r="BS170"/>
  <c r="BS172"/>
  <c r="BU171"/>
  <c r="BS171"/>
  <c r="BU172"/>
  <c r="BU170"/>
  <c r="BT155"/>
  <c r="BT154"/>
  <c r="BS154"/>
  <c r="BU155"/>
  <c r="BS155"/>
  <c r="BU156"/>
  <c r="BU154"/>
  <c r="BS156"/>
  <c r="BT106"/>
  <c r="BT107"/>
  <c r="BS107"/>
  <c r="BS108"/>
  <c r="BU108"/>
  <c r="BU107"/>
  <c r="BU106"/>
  <c r="BS106"/>
  <c r="BT59"/>
  <c r="BT58"/>
  <c r="BU59"/>
  <c r="BS58"/>
  <c r="BS59"/>
  <c r="BU58"/>
  <c r="BU60"/>
  <c r="BS60"/>
  <c r="BT194"/>
  <c r="BT195"/>
  <c r="BS194"/>
  <c r="BU194"/>
  <c r="BU195"/>
  <c r="BS195"/>
  <c r="BU196"/>
  <c r="BS196"/>
  <c r="CZ194"/>
  <c r="CZ162"/>
  <c r="BX178" a="1"/>
  <c r="BX138" a="1"/>
  <c r="BN26"/>
  <c r="BP170"/>
  <c r="BP146"/>
  <c r="BM170"/>
  <c r="BM34"/>
  <c r="BQ74"/>
  <c r="BN130"/>
  <c r="BL170"/>
  <c r="BL98"/>
  <c r="BN58"/>
  <c r="BM186"/>
  <c r="BL194"/>
  <c r="BN106"/>
  <c r="BO66"/>
  <c r="BN186"/>
  <c r="BQ66"/>
  <c r="BL162"/>
  <c r="BP194"/>
  <c r="BO186"/>
  <c r="BL58"/>
  <c r="BM106"/>
  <c r="BQ162"/>
  <c r="BQ154"/>
  <c r="BO154"/>
  <c r="BP154"/>
  <c r="BN10"/>
  <c r="BP58"/>
  <c r="BQ98"/>
  <c r="BP74"/>
  <c r="BN170"/>
  <c r="BP42"/>
  <c r="BL74"/>
  <c r="BP114"/>
  <c r="BQ106"/>
  <c r="BP66"/>
  <c r="BN162"/>
  <c r="BQ186"/>
  <c r="BL34"/>
  <c r="BX50" l="1" a="1"/>
  <c r="BX52" s="1"/>
  <c r="BX82" a="1"/>
  <c r="BX82" s="1"/>
  <c r="BX123"/>
  <c r="BX122"/>
  <c r="BZ122"/>
  <c r="BZ124"/>
  <c r="BY122"/>
  <c r="BY124"/>
  <c r="BX124"/>
  <c r="BY123"/>
  <c r="BX90" a="1"/>
  <c r="BY90" s="1"/>
  <c r="BX18" a="1"/>
  <c r="BX186" a="1"/>
  <c r="BX106" a="1"/>
  <c r="BZ108" s="1"/>
  <c r="BX10" a="1"/>
  <c r="BX11" s="1"/>
  <c r="BX146" a="1"/>
  <c r="BY146" s="1"/>
  <c r="BX26" a="1"/>
  <c r="BZ26" s="1"/>
  <c r="BX194" a="1"/>
  <c r="BX154" a="1"/>
  <c r="BX170" a="1"/>
  <c r="BX34" a="1"/>
  <c r="BX162" a="1"/>
  <c r="BZ139"/>
  <c r="BY139"/>
  <c r="BX139"/>
  <c r="BY140"/>
  <c r="BZ138"/>
  <c r="BX140"/>
  <c r="BY138"/>
  <c r="BX138"/>
  <c r="BZ140"/>
  <c r="BZ178"/>
  <c r="BX180"/>
  <c r="BY178"/>
  <c r="BZ179"/>
  <c r="BX178"/>
  <c r="BY179"/>
  <c r="BZ180"/>
  <c r="BX179"/>
  <c r="BY180"/>
  <c r="BX58" a="1"/>
  <c r="BX42" a="1"/>
  <c r="BX74" a="1"/>
  <c r="BX130" a="1"/>
  <c r="BX66" a="1"/>
  <c r="BX98" a="1"/>
  <c r="BX114" a="1"/>
  <c r="BY51" l="1"/>
  <c r="BZ52"/>
  <c r="BX50"/>
  <c r="BX51"/>
  <c r="BY50"/>
  <c r="BY52"/>
  <c r="BZ51"/>
  <c r="BZ50"/>
  <c r="BZ83"/>
  <c r="BZ82"/>
  <c r="BX83"/>
  <c r="BX84"/>
  <c r="BY83"/>
  <c r="BY82"/>
  <c r="BY84"/>
  <c r="BZ84"/>
  <c r="CB122" a="1"/>
  <c r="CB124" s="1"/>
  <c r="BY92"/>
  <c r="BZ90"/>
  <c r="BX90"/>
  <c r="BZ91"/>
  <c r="BZ92"/>
  <c r="BX91"/>
  <c r="CM122" a="1"/>
  <c r="CN122" s="1"/>
  <c r="BX92"/>
  <c r="BY91"/>
  <c r="CH122" a="1"/>
  <c r="BX27"/>
  <c r="BZ28"/>
  <c r="BX28"/>
  <c r="BZ20"/>
  <c r="BY20"/>
  <c r="BX20"/>
  <c r="BX19"/>
  <c r="BY19"/>
  <c r="BY18"/>
  <c r="BX18"/>
  <c r="BZ19"/>
  <c r="BZ18"/>
  <c r="BX26"/>
  <c r="BZ147"/>
  <c r="BX147"/>
  <c r="BX107"/>
  <c r="BZ107"/>
  <c r="BZ27"/>
  <c r="BY26"/>
  <c r="BY28"/>
  <c r="BY27"/>
  <c r="BY12"/>
  <c r="BX10"/>
  <c r="BY11"/>
  <c r="BZ10"/>
  <c r="BZ11"/>
  <c r="BX12"/>
  <c r="BZ12"/>
  <c r="BY10"/>
  <c r="BZ146"/>
  <c r="BX146"/>
  <c r="BY107"/>
  <c r="BZ106"/>
  <c r="BY187"/>
  <c r="BX187"/>
  <c r="BZ187"/>
  <c r="BY186"/>
  <c r="BZ186"/>
  <c r="BY188"/>
  <c r="BX188"/>
  <c r="BZ188"/>
  <c r="BX186"/>
  <c r="BY147"/>
  <c r="BX148"/>
  <c r="BY148"/>
  <c r="BZ148"/>
  <c r="BX108"/>
  <c r="BX106"/>
  <c r="BY106"/>
  <c r="BY108"/>
  <c r="BZ116"/>
  <c r="BX115"/>
  <c r="BZ115"/>
  <c r="BY116"/>
  <c r="BX114"/>
  <c r="BZ114"/>
  <c r="BY115"/>
  <c r="BX116"/>
  <c r="BY114"/>
  <c r="BY66"/>
  <c r="BZ67"/>
  <c r="BY67"/>
  <c r="BX67"/>
  <c r="BX66"/>
  <c r="BZ68"/>
  <c r="BY68"/>
  <c r="BZ66"/>
  <c r="BX68"/>
  <c r="BZ75"/>
  <c r="BX74"/>
  <c r="BY75"/>
  <c r="BY76"/>
  <c r="BX75"/>
  <c r="BZ76"/>
  <c r="BZ74"/>
  <c r="BX76"/>
  <c r="BY74"/>
  <c r="BY58"/>
  <c r="BX60"/>
  <c r="BX59"/>
  <c r="BY60"/>
  <c r="BZ59"/>
  <c r="BZ60"/>
  <c r="BZ58"/>
  <c r="BX58"/>
  <c r="BY59"/>
  <c r="CM138" a="1"/>
  <c r="CO138" s="1"/>
  <c r="CB138" a="1"/>
  <c r="CH138" a="1"/>
  <c r="BX35"/>
  <c r="BY36"/>
  <c r="BZ34"/>
  <c r="BX36"/>
  <c r="BY34"/>
  <c r="BZ35"/>
  <c r="BX34"/>
  <c r="BY35"/>
  <c r="BZ36"/>
  <c r="BZ156"/>
  <c r="BX155"/>
  <c r="BY156"/>
  <c r="BZ154"/>
  <c r="BX156"/>
  <c r="BY154"/>
  <c r="BZ155"/>
  <c r="BX154"/>
  <c r="BY155"/>
  <c r="BY98"/>
  <c r="BZ98"/>
  <c r="BZ100"/>
  <c r="BX99"/>
  <c r="BX98"/>
  <c r="BX100"/>
  <c r="BY99"/>
  <c r="BY100"/>
  <c r="BZ99"/>
  <c r="BY131"/>
  <c r="BX131"/>
  <c r="BZ130"/>
  <c r="BX132"/>
  <c r="BY130"/>
  <c r="BZ131"/>
  <c r="BX130"/>
  <c r="BZ132"/>
  <c r="BY132"/>
  <c r="BZ43"/>
  <c r="BZ44"/>
  <c r="BY42"/>
  <c r="BZ42"/>
  <c r="BY44"/>
  <c r="BX42"/>
  <c r="BY43"/>
  <c r="BX44"/>
  <c r="BX43"/>
  <c r="CM178" a="1"/>
  <c r="CO180" s="1"/>
  <c r="CB178" a="1"/>
  <c r="CH178" a="1"/>
  <c r="BX164"/>
  <c r="BZ163"/>
  <c r="BX163"/>
  <c r="BX162"/>
  <c r="BY164"/>
  <c r="BY162"/>
  <c r="BY163"/>
  <c r="BZ162"/>
  <c r="BZ164"/>
  <c r="BY172"/>
  <c r="BY171"/>
  <c r="BZ172"/>
  <c r="BX171"/>
  <c r="BX170"/>
  <c r="BZ170"/>
  <c r="BX172"/>
  <c r="BY170"/>
  <c r="BZ171"/>
  <c r="BZ194"/>
  <c r="BX194"/>
  <c r="BY196"/>
  <c r="BZ195"/>
  <c r="BX195"/>
  <c r="BY194"/>
  <c r="BZ196"/>
  <c r="BX196"/>
  <c r="BY195"/>
  <c r="CB82" l="1" a="1"/>
  <c r="CB82" s="1"/>
  <c r="CB50" a="1"/>
  <c r="CB51" s="1"/>
  <c r="CM50" a="1"/>
  <c r="CN50" s="1"/>
  <c r="CH50" a="1"/>
  <c r="CJ52" s="1"/>
  <c r="CM82" a="1"/>
  <c r="CM83" s="1"/>
  <c r="CH82" a="1"/>
  <c r="CJ85" s="1"/>
  <c r="CB84"/>
  <c r="CM90" a="1"/>
  <c r="CN92" s="1"/>
  <c r="CO83"/>
  <c r="CB122"/>
  <c r="CB90" a="1"/>
  <c r="CB91" s="1"/>
  <c r="CB123"/>
  <c r="CM84"/>
  <c r="CN82"/>
  <c r="CN124"/>
  <c r="CO124"/>
  <c r="CN123"/>
  <c r="CM125"/>
  <c r="CM123"/>
  <c r="CM124"/>
  <c r="CH90" a="1"/>
  <c r="CK93" s="1"/>
  <c r="CP123"/>
  <c r="CO122"/>
  <c r="CP125"/>
  <c r="CO123"/>
  <c r="CN125"/>
  <c r="CM122"/>
  <c r="CP124"/>
  <c r="CP122"/>
  <c r="CO125"/>
  <c r="CI123"/>
  <c r="CH124"/>
  <c r="CI124"/>
  <c r="CJ125"/>
  <c r="CK125"/>
  <c r="CH125"/>
  <c r="CI125"/>
  <c r="CK122"/>
  <c r="CJ124"/>
  <c r="CH122"/>
  <c r="CI122"/>
  <c r="CJ122"/>
  <c r="CK123"/>
  <c r="CH123"/>
  <c r="CJ123"/>
  <c r="CK124"/>
  <c r="CO140"/>
  <c r="CB10" a="1"/>
  <c r="CB10" s="1"/>
  <c r="CM26" a="1"/>
  <c r="CO27" s="1"/>
  <c r="CH18" a="1"/>
  <c r="CM18" a="1"/>
  <c r="CB18" a="1"/>
  <c r="CN140"/>
  <c r="CB26" a="1"/>
  <c r="CB27" s="1"/>
  <c r="CO139"/>
  <c r="CM140"/>
  <c r="CH26" a="1"/>
  <c r="CH28" s="1"/>
  <c r="CH10" a="1"/>
  <c r="CH12" s="1"/>
  <c r="CM10" a="1"/>
  <c r="CM11" s="1"/>
  <c r="CM106" a="1"/>
  <c r="CM107" s="1"/>
  <c r="CB146" a="1"/>
  <c r="CB146" s="1"/>
  <c r="CN138"/>
  <c r="CM139"/>
  <c r="CN139"/>
  <c r="CH106" a="1"/>
  <c r="CJ109" s="1"/>
  <c r="CB106" a="1"/>
  <c r="CB107" s="1"/>
  <c r="CM146" a="1"/>
  <c r="CN147" s="1"/>
  <c r="CM186" a="1"/>
  <c r="CH186" a="1"/>
  <c r="CB186" a="1"/>
  <c r="CM180"/>
  <c r="CH146" a="1"/>
  <c r="CI149" s="1"/>
  <c r="CM194" a="1"/>
  <c r="CM195" s="1"/>
  <c r="CB194" a="1"/>
  <c r="CH194" a="1"/>
  <c r="CM170" a="1"/>
  <c r="CO170" s="1"/>
  <c r="CB170" a="1"/>
  <c r="CH170" a="1"/>
  <c r="CM162" a="1"/>
  <c r="CM164" s="1"/>
  <c r="CB162" a="1"/>
  <c r="CH162" a="1"/>
  <c r="CJ180"/>
  <c r="CJ178"/>
  <c r="CK180"/>
  <c r="CK178"/>
  <c r="CH180"/>
  <c r="CH178"/>
  <c r="CI180"/>
  <c r="CI178"/>
  <c r="CJ181"/>
  <c r="CJ179"/>
  <c r="CK181"/>
  <c r="CK179"/>
  <c r="CH181"/>
  <c r="CH179"/>
  <c r="CI181"/>
  <c r="CI179"/>
  <c r="CN181"/>
  <c r="CM181"/>
  <c r="CP181"/>
  <c r="CP178"/>
  <c r="CP179"/>
  <c r="CP180"/>
  <c r="CO181"/>
  <c r="CM178"/>
  <c r="CM98" a="1"/>
  <c r="CN99" s="1"/>
  <c r="CB98" a="1"/>
  <c r="CH98" a="1"/>
  <c r="CH52"/>
  <c r="CK52"/>
  <c r="CK51"/>
  <c r="CJ53"/>
  <c r="CI51"/>
  <c r="CH53"/>
  <c r="CI52"/>
  <c r="CJ50"/>
  <c r="CK139"/>
  <c r="CK141"/>
  <c r="CJ139"/>
  <c r="CJ141"/>
  <c r="CI139"/>
  <c r="CI141"/>
  <c r="CH139"/>
  <c r="CH141"/>
  <c r="CK138"/>
  <c r="CK140"/>
  <c r="CJ138"/>
  <c r="CJ140"/>
  <c r="CI138"/>
  <c r="CI140"/>
  <c r="CH138"/>
  <c r="CH140"/>
  <c r="CO141"/>
  <c r="CN141"/>
  <c r="CM141"/>
  <c r="CP141"/>
  <c r="CP139"/>
  <c r="CP138"/>
  <c r="CP140"/>
  <c r="CM138"/>
  <c r="CH10"/>
  <c r="CM58" a="1"/>
  <c r="CO59" s="1"/>
  <c r="CB58" a="1"/>
  <c r="CH58" a="1"/>
  <c r="CM114" a="1"/>
  <c r="CN115" s="1"/>
  <c r="CB114" a="1"/>
  <c r="CH114" a="1"/>
  <c r="CN180"/>
  <c r="CN178"/>
  <c r="CB90"/>
  <c r="CB178"/>
  <c r="CB179"/>
  <c r="CB180"/>
  <c r="CM42" a="1"/>
  <c r="CN42" s="1"/>
  <c r="CH42" a="1"/>
  <c r="CB42" a="1"/>
  <c r="CM130" a="1"/>
  <c r="CM131" s="1"/>
  <c r="CB130" a="1"/>
  <c r="CH130" a="1"/>
  <c r="CB52"/>
  <c r="CP50"/>
  <c r="CM154" a="1"/>
  <c r="CM156" s="1"/>
  <c r="CB154" a="1"/>
  <c r="CH154" a="1"/>
  <c r="CM34" a="1"/>
  <c r="CN35" s="1"/>
  <c r="CB34" a="1"/>
  <c r="CH34" a="1"/>
  <c r="CB139"/>
  <c r="CB140"/>
  <c r="CB138"/>
  <c r="CM74" a="1"/>
  <c r="CO75" s="1"/>
  <c r="CB74" a="1"/>
  <c r="CH74" a="1"/>
  <c r="CM66" a="1"/>
  <c r="CM68" s="1"/>
  <c r="CB66" a="1"/>
  <c r="CH66" a="1"/>
  <c r="CM179"/>
  <c r="CO179"/>
  <c r="CO178"/>
  <c r="CN179"/>
  <c r="CM50" l="1"/>
  <c r="CB50"/>
  <c r="CD50" s="1" a="1"/>
  <c r="CF50" s="1"/>
  <c r="CI82"/>
  <c r="CH83"/>
  <c r="CI83"/>
  <c r="CM51"/>
  <c r="CN84"/>
  <c r="CM85"/>
  <c r="CO82"/>
  <c r="CP85"/>
  <c r="CP82"/>
  <c r="CO85"/>
  <c r="CP83"/>
  <c r="CM82"/>
  <c r="CB83"/>
  <c r="CD82" s="1" a="1"/>
  <c r="CP51"/>
  <c r="CN53"/>
  <c r="CP92"/>
  <c r="CO50"/>
  <c r="CO99"/>
  <c r="CP52"/>
  <c r="CM53"/>
  <c r="CH50"/>
  <c r="CH51"/>
  <c r="CJ51"/>
  <c r="CI50"/>
  <c r="CN93"/>
  <c r="CN51"/>
  <c r="CO51"/>
  <c r="CN52"/>
  <c r="CO53"/>
  <c r="CP53"/>
  <c r="CK50"/>
  <c r="CI53"/>
  <c r="CK53"/>
  <c r="CO52"/>
  <c r="CM52"/>
  <c r="CO84"/>
  <c r="CN85"/>
  <c r="CP84"/>
  <c r="CN83"/>
  <c r="CK85"/>
  <c r="CH82"/>
  <c r="CO91"/>
  <c r="CI84"/>
  <c r="CK82"/>
  <c r="CK84"/>
  <c r="CH85"/>
  <c r="CH84"/>
  <c r="CI85"/>
  <c r="CB92"/>
  <c r="CD90" s="1" a="1"/>
  <c r="CN91"/>
  <c r="CO90"/>
  <c r="CB11"/>
  <c r="CJ83"/>
  <c r="CK83"/>
  <c r="CJ84"/>
  <c r="CJ82"/>
  <c r="CM91"/>
  <c r="CM90"/>
  <c r="CM93"/>
  <c r="CO92"/>
  <c r="CM92"/>
  <c r="CP90"/>
  <c r="CO93"/>
  <c r="CP91"/>
  <c r="CP93"/>
  <c r="CN90"/>
  <c r="CD122" a="1"/>
  <c r="CE122" s="1"/>
  <c r="CM27"/>
  <c r="CJ146"/>
  <c r="CJ93"/>
  <c r="CI90"/>
  <c r="CK90"/>
  <c r="CI91"/>
  <c r="CK91"/>
  <c r="CH93"/>
  <c r="CH90"/>
  <c r="CH91"/>
  <c r="CJ91"/>
  <c r="CH92"/>
  <c r="CJ92"/>
  <c r="CJ90"/>
  <c r="CI92"/>
  <c r="CK92"/>
  <c r="CI93"/>
  <c r="CN29"/>
  <c r="CO114"/>
  <c r="CK27"/>
  <c r="CH26"/>
  <c r="CR122" a="1"/>
  <c r="CS124" s="1"/>
  <c r="CP26"/>
  <c r="CM36"/>
  <c r="CB12"/>
  <c r="CD10" s="1" a="1"/>
  <c r="CM163"/>
  <c r="CO163"/>
  <c r="CO131"/>
  <c r="CI29"/>
  <c r="CH27"/>
  <c r="CB26"/>
  <c r="CH29"/>
  <c r="CJ28"/>
  <c r="CK26"/>
  <c r="CK29"/>
  <c r="CM67"/>
  <c r="CN26"/>
  <c r="CO28"/>
  <c r="CO109"/>
  <c r="CB28"/>
  <c r="CO29"/>
  <c r="CP29"/>
  <c r="CI27"/>
  <c r="CJ27"/>
  <c r="CI28"/>
  <c r="CJ26"/>
  <c r="CN27"/>
  <c r="CM28"/>
  <c r="CM172"/>
  <c r="CN28"/>
  <c r="CN172"/>
  <c r="CM29"/>
  <c r="CP27"/>
  <c r="CO26"/>
  <c r="CN171"/>
  <c r="CP106"/>
  <c r="CO172"/>
  <c r="CM26"/>
  <c r="CP28"/>
  <c r="CK28"/>
  <c r="CI26"/>
  <c r="CJ29"/>
  <c r="CB147"/>
  <c r="CM108"/>
  <c r="CB18"/>
  <c r="CB19"/>
  <c r="CB20"/>
  <c r="CK20"/>
  <c r="CH19"/>
  <c r="CI20"/>
  <c r="CJ20"/>
  <c r="CK21"/>
  <c r="CI21"/>
  <c r="CJ21"/>
  <c r="CH18"/>
  <c r="CJ19"/>
  <c r="CH20"/>
  <c r="CK18"/>
  <c r="CH21"/>
  <c r="CI18"/>
  <c r="CJ18"/>
  <c r="CK19"/>
  <c r="CI19"/>
  <c r="CK149"/>
  <c r="CO194"/>
  <c r="CO36"/>
  <c r="CH148"/>
  <c r="CJ11"/>
  <c r="CB108"/>
  <c r="CO108"/>
  <c r="CN19"/>
  <c r="CN18"/>
  <c r="CO21"/>
  <c r="CP18"/>
  <c r="CO20"/>
  <c r="CO18"/>
  <c r="CM19"/>
  <c r="CM18"/>
  <c r="CP21"/>
  <c r="CM20"/>
  <c r="CM21"/>
  <c r="CP20"/>
  <c r="CN20"/>
  <c r="CN21"/>
  <c r="CP19"/>
  <c r="CO19"/>
  <c r="CN58"/>
  <c r="CO42"/>
  <c r="CO195"/>
  <c r="CJ10"/>
  <c r="CB106"/>
  <c r="CO44"/>
  <c r="CH11"/>
  <c r="CM155"/>
  <c r="CP149"/>
  <c r="CB148"/>
  <c r="CO148"/>
  <c r="CM149"/>
  <c r="CP148"/>
  <c r="CO149"/>
  <c r="CI146"/>
  <c r="CM147"/>
  <c r="CI108"/>
  <c r="CK108"/>
  <c r="CI109"/>
  <c r="CK109"/>
  <c r="CN109"/>
  <c r="CP107"/>
  <c r="CH106"/>
  <c r="CJ106"/>
  <c r="CH107"/>
  <c r="CJ107"/>
  <c r="CN106"/>
  <c r="CM106"/>
  <c r="CP109"/>
  <c r="CI106"/>
  <c r="CK106"/>
  <c r="CI107"/>
  <c r="CK107"/>
  <c r="CN107"/>
  <c r="CO107"/>
  <c r="CN108"/>
  <c r="CO106"/>
  <c r="CM109"/>
  <c r="CP108"/>
  <c r="CH108"/>
  <c r="CJ108"/>
  <c r="CH109"/>
  <c r="CN98"/>
  <c r="CN100"/>
  <c r="CM60"/>
  <c r="CK12"/>
  <c r="CI12"/>
  <c r="CI11"/>
  <c r="CI10"/>
  <c r="CK11"/>
  <c r="CK10"/>
  <c r="CK13"/>
  <c r="CI13"/>
  <c r="CJ13"/>
  <c r="CH13"/>
  <c r="CJ12"/>
  <c r="CP12"/>
  <c r="CM13"/>
  <c r="CO12"/>
  <c r="CN13"/>
  <c r="CN10"/>
  <c r="CM10"/>
  <c r="CO13"/>
  <c r="CO11"/>
  <c r="CN11"/>
  <c r="CM12"/>
  <c r="CP13"/>
  <c r="CP11"/>
  <c r="CP10"/>
  <c r="CO10"/>
  <c r="CN12"/>
  <c r="CM115"/>
  <c r="CN146"/>
  <c r="CO115"/>
  <c r="CO146"/>
  <c r="CM132"/>
  <c r="CN170"/>
  <c r="CM171"/>
  <c r="CM146"/>
  <c r="CP147"/>
  <c r="CN149"/>
  <c r="CP146"/>
  <c r="CN116"/>
  <c r="CO147"/>
  <c r="CO171"/>
  <c r="CM148"/>
  <c r="CN148"/>
  <c r="CN34"/>
  <c r="CM35"/>
  <c r="CO74"/>
  <c r="CO100"/>
  <c r="CO196"/>
  <c r="CN196"/>
  <c r="CO162"/>
  <c r="CO164"/>
  <c r="CK148"/>
  <c r="CJ149"/>
  <c r="CI147"/>
  <c r="CH147"/>
  <c r="CN114"/>
  <c r="CM116"/>
  <c r="CO116"/>
  <c r="CM44"/>
  <c r="CO67"/>
  <c r="CN67"/>
  <c r="CO66"/>
  <c r="CN154"/>
  <c r="CO60"/>
  <c r="CH186"/>
  <c r="CJ187"/>
  <c r="CI186"/>
  <c r="CI188"/>
  <c r="CH187"/>
  <c r="CJ188"/>
  <c r="CK186"/>
  <c r="CK188"/>
  <c r="CH188"/>
  <c r="CH189"/>
  <c r="CI187"/>
  <c r="CI189"/>
  <c r="CJ186"/>
  <c r="CJ189"/>
  <c r="CK187"/>
  <c r="CK189"/>
  <c r="CB188"/>
  <c r="CB186"/>
  <c r="CB187"/>
  <c r="CM187"/>
  <c r="CN186"/>
  <c r="CO189"/>
  <c r="CP188"/>
  <c r="CP186"/>
  <c r="CP189"/>
  <c r="CO188"/>
  <c r="CO187"/>
  <c r="CM186"/>
  <c r="CN188"/>
  <c r="CN187"/>
  <c r="CN189"/>
  <c r="CP187"/>
  <c r="CM189"/>
  <c r="CO186"/>
  <c r="CM188"/>
  <c r="CM59"/>
  <c r="CN60"/>
  <c r="CN59"/>
  <c r="CM100"/>
  <c r="CO98"/>
  <c r="CN131"/>
  <c r="CN162"/>
  <c r="CN163"/>
  <c r="CM196"/>
  <c r="CN194"/>
  <c r="CN195"/>
  <c r="CJ147"/>
  <c r="CH149"/>
  <c r="CJ148"/>
  <c r="CK147"/>
  <c r="CK146"/>
  <c r="CH146"/>
  <c r="CI148"/>
  <c r="CO58"/>
  <c r="CM99"/>
  <c r="CN164"/>
  <c r="CD138" a="1"/>
  <c r="CE138" s="1"/>
  <c r="CB67"/>
  <c r="CB68"/>
  <c r="CB66"/>
  <c r="CK77"/>
  <c r="CK75"/>
  <c r="CJ77"/>
  <c r="CJ75"/>
  <c r="CI77"/>
  <c r="CI75"/>
  <c r="CH77"/>
  <c r="CH75"/>
  <c r="CK76"/>
  <c r="CK74"/>
  <c r="CJ76"/>
  <c r="CJ74"/>
  <c r="CI76"/>
  <c r="CI74"/>
  <c r="CH76"/>
  <c r="CH74"/>
  <c r="CO77"/>
  <c r="CN77"/>
  <c r="CP77"/>
  <c r="CP74"/>
  <c r="CP76"/>
  <c r="CM77"/>
  <c r="CP75"/>
  <c r="CM74"/>
  <c r="CB36"/>
  <c r="CB34"/>
  <c r="CB35"/>
  <c r="CH157"/>
  <c r="CH155"/>
  <c r="CI157"/>
  <c r="CI155"/>
  <c r="CJ157"/>
  <c r="CJ155"/>
  <c r="CK157"/>
  <c r="CK155"/>
  <c r="CH154"/>
  <c r="CI154"/>
  <c r="CJ154"/>
  <c r="CK154"/>
  <c r="CH156"/>
  <c r="CI156"/>
  <c r="CJ156"/>
  <c r="CK156"/>
  <c r="CM157"/>
  <c r="CO157"/>
  <c r="CP156"/>
  <c r="CN157"/>
  <c r="CP154"/>
  <c r="CP155"/>
  <c r="CP157"/>
  <c r="CM154"/>
  <c r="CI131"/>
  <c r="CJ132"/>
  <c r="CH131"/>
  <c r="CI133"/>
  <c r="CK131"/>
  <c r="CH133"/>
  <c r="CJ131"/>
  <c r="CK133"/>
  <c r="CJ133"/>
  <c r="CI130"/>
  <c r="CH130"/>
  <c r="CJ130"/>
  <c r="CK130"/>
  <c r="CI132"/>
  <c r="CH132"/>
  <c r="CK132"/>
  <c r="CP132"/>
  <c r="CP131"/>
  <c r="CP130"/>
  <c r="CM133"/>
  <c r="CP133"/>
  <c r="CO133"/>
  <c r="CN133"/>
  <c r="CM130"/>
  <c r="CH44"/>
  <c r="CH42"/>
  <c r="CI44"/>
  <c r="CI42"/>
  <c r="CJ44"/>
  <c r="CJ42"/>
  <c r="CK44"/>
  <c r="CK42"/>
  <c r="CH45"/>
  <c r="CH43"/>
  <c r="CI45"/>
  <c r="CI43"/>
  <c r="CJ45"/>
  <c r="CJ43"/>
  <c r="CK45"/>
  <c r="CK43"/>
  <c r="CB115"/>
  <c r="CB114"/>
  <c r="CB116"/>
  <c r="CK60"/>
  <c r="CK58"/>
  <c r="CJ60"/>
  <c r="CJ58"/>
  <c r="CI60"/>
  <c r="CI58"/>
  <c r="CH60"/>
  <c r="CH58"/>
  <c r="CK61"/>
  <c r="CK59"/>
  <c r="CJ61"/>
  <c r="CJ59"/>
  <c r="CI61"/>
  <c r="CI59"/>
  <c r="CH61"/>
  <c r="CH59"/>
  <c r="CP59"/>
  <c r="CP60"/>
  <c r="CO61"/>
  <c r="CN61"/>
  <c r="CM61"/>
  <c r="CP61"/>
  <c r="CP58"/>
  <c r="CM58"/>
  <c r="CJ98"/>
  <c r="CK100"/>
  <c r="CH99"/>
  <c r="CH101"/>
  <c r="CI99"/>
  <c r="CI101"/>
  <c r="CJ99"/>
  <c r="CJ101"/>
  <c r="CK99"/>
  <c r="CK101"/>
  <c r="CH98"/>
  <c r="CH100"/>
  <c r="CI98"/>
  <c r="CI100"/>
  <c r="CJ100"/>
  <c r="CK98"/>
  <c r="CP98"/>
  <c r="CP100"/>
  <c r="CP101"/>
  <c r="CN101"/>
  <c r="CO101"/>
  <c r="CM101"/>
  <c r="CP99"/>
  <c r="CM98"/>
  <c r="CH164"/>
  <c r="CH162"/>
  <c r="CI164"/>
  <c r="CI162"/>
  <c r="CH165"/>
  <c r="CH163"/>
  <c r="CI165"/>
  <c r="CI163"/>
  <c r="CJ165"/>
  <c r="CJ164"/>
  <c r="CJ163"/>
  <c r="CJ162"/>
  <c r="CK165"/>
  <c r="CK164"/>
  <c r="CK163"/>
  <c r="CK162"/>
  <c r="CM165"/>
  <c r="CP165"/>
  <c r="CP162"/>
  <c r="CP163"/>
  <c r="CP164"/>
  <c r="CO165"/>
  <c r="CN165"/>
  <c r="CM162"/>
  <c r="CB171"/>
  <c r="CB172"/>
  <c r="CB170"/>
  <c r="CH197"/>
  <c r="CH195"/>
  <c r="CI197"/>
  <c r="CI195"/>
  <c r="CH196"/>
  <c r="CH194"/>
  <c r="CI196"/>
  <c r="CI194"/>
  <c r="CJ194"/>
  <c r="CJ195"/>
  <c r="CJ196"/>
  <c r="CJ197"/>
  <c r="CK194"/>
  <c r="CK195"/>
  <c r="CK196"/>
  <c r="CK197"/>
  <c r="CM197"/>
  <c r="CP194"/>
  <c r="CO197"/>
  <c r="CN197"/>
  <c r="CP195"/>
  <c r="CP196"/>
  <c r="CP197"/>
  <c r="CM194"/>
  <c r="CN66"/>
  <c r="CN75"/>
  <c r="CM76"/>
  <c r="CO34"/>
  <c r="CO155"/>
  <c r="CN156"/>
  <c r="CN130"/>
  <c r="CN132"/>
  <c r="CN44"/>
  <c r="CO43"/>
  <c r="CR178" a="1"/>
  <c r="CH69"/>
  <c r="CI67"/>
  <c r="CK67"/>
  <c r="CK69"/>
  <c r="CK66"/>
  <c r="CH66"/>
  <c r="CJ66"/>
  <c r="CJ68"/>
  <c r="CH67"/>
  <c r="CK68"/>
  <c r="CI66"/>
  <c r="CJ69"/>
  <c r="CI69"/>
  <c r="CH68"/>
  <c r="CJ67"/>
  <c r="CI68"/>
  <c r="CM69"/>
  <c r="CN69"/>
  <c r="CO69"/>
  <c r="CP67"/>
  <c r="CP68"/>
  <c r="CP69"/>
  <c r="CP66"/>
  <c r="CM66"/>
  <c r="CB76"/>
  <c r="CB74"/>
  <c r="CB75"/>
  <c r="CK34"/>
  <c r="CK36"/>
  <c r="CJ34"/>
  <c r="CJ36"/>
  <c r="CI34"/>
  <c r="CI36"/>
  <c r="CH34"/>
  <c r="CH36"/>
  <c r="CK35"/>
  <c r="CK37"/>
  <c r="CJ35"/>
  <c r="CJ37"/>
  <c r="CI35"/>
  <c r="CI37"/>
  <c r="CH35"/>
  <c r="CH37"/>
  <c r="CP35"/>
  <c r="CN37"/>
  <c r="CO37"/>
  <c r="CP34"/>
  <c r="CM37"/>
  <c r="CP37"/>
  <c r="CP36"/>
  <c r="CM34"/>
  <c r="CB154"/>
  <c r="CB156"/>
  <c r="CB155"/>
  <c r="CB130"/>
  <c r="CB132"/>
  <c r="CB131"/>
  <c r="CB42"/>
  <c r="CB43"/>
  <c r="CB44"/>
  <c r="CN45"/>
  <c r="CM45"/>
  <c r="CP45"/>
  <c r="CP42"/>
  <c r="CP43"/>
  <c r="CP44"/>
  <c r="CO45"/>
  <c r="CM42"/>
  <c r="CK117"/>
  <c r="CK115"/>
  <c r="CJ117"/>
  <c r="CJ115"/>
  <c r="CK116"/>
  <c r="CK114"/>
  <c r="CJ116"/>
  <c r="CJ114"/>
  <c r="CI117"/>
  <c r="CI116"/>
  <c r="CI115"/>
  <c r="CI114"/>
  <c r="CH117"/>
  <c r="CH116"/>
  <c r="CH115"/>
  <c r="CH114"/>
  <c r="CM117"/>
  <c r="CP117"/>
  <c r="CP114"/>
  <c r="CP115"/>
  <c r="CP116"/>
  <c r="CO117"/>
  <c r="CN117"/>
  <c r="CM114"/>
  <c r="CB60"/>
  <c r="CB58"/>
  <c r="CB59"/>
  <c r="CB100"/>
  <c r="CB99"/>
  <c r="CB98"/>
  <c r="CB162"/>
  <c r="CB163"/>
  <c r="CB164"/>
  <c r="CK172"/>
  <c r="CK170"/>
  <c r="CJ172"/>
  <c r="CJ170"/>
  <c r="CI172"/>
  <c r="CI170"/>
  <c r="CH172"/>
  <c r="CH170"/>
  <c r="CK173"/>
  <c r="CK171"/>
  <c r="CJ173"/>
  <c r="CJ171"/>
  <c r="CI173"/>
  <c r="CI171"/>
  <c r="CH173"/>
  <c r="CH171"/>
  <c r="CO173"/>
  <c r="CP170"/>
  <c r="CM173"/>
  <c r="CP173"/>
  <c r="CP172"/>
  <c r="CP171"/>
  <c r="CN173"/>
  <c r="CM170"/>
  <c r="CB195"/>
  <c r="CB196"/>
  <c r="CB194"/>
  <c r="CO76"/>
  <c r="CD178" a="1"/>
  <c r="CN68"/>
  <c r="CO68"/>
  <c r="CN76"/>
  <c r="CN74"/>
  <c r="CM75"/>
  <c r="CO35"/>
  <c r="CN36"/>
  <c r="CO156"/>
  <c r="CO154"/>
  <c r="CN155"/>
  <c r="CO130"/>
  <c r="CO132"/>
  <c r="CM43"/>
  <c r="CN43"/>
  <c r="CR138" a="1"/>
  <c r="CD26" l="1" a="1"/>
  <c r="CE26" s="1"/>
  <c r="CR82" a="1"/>
  <c r="CR85" s="1"/>
  <c r="CR50" a="1"/>
  <c r="CS51" s="1"/>
  <c r="CD82"/>
  <c r="CF82"/>
  <c r="CE82"/>
  <c r="CD122"/>
  <c r="CD106" a="1"/>
  <c r="CD106" s="1"/>
  <c r="CF122"/>
  <c r="CR90" a="1"/>
  <c r="CR93" s="1"/>
  <c r="CS123"/>
  <c r="CR122"/>
  <c r="CU124"/>
  <c r="CU122"/>
  <c r="CT122"/>
  <c r="CR123"/>
  <c r="CU125"/>
  <c r="CY122" s="1"/>
  <c r="CR124"/>
  <c r="CS125"/>
  <c r="CT125"/>
  <c r="CT123"/>
  <c r="CS122"/>
  <c r="CU123"/>
  <c r="CT124"/>
  <c r="CX122" s="1"/>
  <c r="CR125"/>
  <c r="CD146" a="1"/>
  <c r="CD146" s="1"/>
  <c r="CR26" a="1"/>
  <c r="CR29" s="1"/>
  <c r="CR146" a="1"/>
  <c r="CT146" s="1"/>
  <c r="CR18" a="1"/>
  <c r="CD18" a="1"/>
  <c r="CR106" a="1"/>
  <c r="CT107" s="1"/>
  <c r="CR10" a="1"/>
  <c r="CS11" s="1"/>
  <c r="CE50"/>
  <c r="CF138"/>
  <c r="CD138"/>
  <c r="CD50"/>
  <c r="CD186" a="1"/>
  <c r="CD186" s="1"/>
  <c r="CD194" a="1"/>
  <c r="CD194" s="1"/>
  <c r="CD98" a="1"/>
  <c r="CD98" s="1"/>
  <c r="CD58" a="1"/>
  <c r="CF58" s="1"/>
  <c r="CD74" a="1"/>
  <c r="CD66" a="1"/>
  <c r="CR186" a="1"/>
  <c r="CF106"/>
  <c r="CD90"/>
  <c r="CF90"/>
  <c r="CE90"/>
  <c r="CU178"/>
  <c r="CT181"/>
  <c r="CT178"/>
  <c r="CU180"/>
  <c r="CU181"/>
  <c r="CY178" s="1"/>
  <c r="DB178" s="1"/>
  <c r="CT180"/>
  <c r="CX178" s="1"/>
  <c r="CS179"/>
  <c r="CU179"/>
  <c r="CS181"/>
  <c r="CR181"/>
  <c r="CS180"/>
  <c r="CR180"/>
  <c r="CR179"/>
  <c r="CS178"/>
  <c r="CR178"/>
  <c r="CT179"/>
  <c r="CS53"/>
  <c r="CR51"/>
  <c r="CT52"/>
  <c r="CX50" s="1"/>
  <c r="CU53"/>
  <c r="CY50" s="1"/>
  <c r="CT51"/>
  <c r="CU51"/>
  <c r="CR52"/>
  <c r="CU52"/>
  <c r="CS52"/>
  <c r="CU50"/>
  <c r="CT50"/>
  <c r="CS50"/>
  <c r="CR50"/>
  <c r="CR114" a="1"/>
  <c r="CD42" a="1"/>
  <c r="CD154" a="1"/>
  <c r="CR34" a="1"/>
  <c r="CR66" a="1"/>
  <c r="CR162" a="1"/>
  <c r="CR58" a="1"/>
  <c r="CR130" a="1"/>
  <c r="CR74" a="1"/>
  <c r="CS93"/>
  <c r="CT140"/>
  <c r="CX138" s="1"/>
  <c r="CR139"/>
  <c r="CR140"/>
  <c r="CU140"/>
  <c r="CS139"/>
  <c r="CS138"/>
  <c r="CT139"/>
  <c r="CU139"/>
  <c r="CS140"/>
  <c r="CT141"/>
  <c r="CU141"/>
  <c r="CY138" s="1"/>
  <c r="CT138"/>
  <c r="CR141"/>
  <c r="CU138"/>
  <c r="CR138"/>
  <c r="CS141"/>
  <c r="CF178"/>
  <c r="CE178"/>
  <c r="CD178"/>
  <c r="CE10"/>
  <c r="CF10"/>
  <c r="CD10"/>
  <c r="CR170" a="1"/>
  <c r="CD162" a="1"/>
  <c r="CD130" a="1"/>
  <c r="CR194" a="1"/>
  <c r="CD170" a="1"/>
  <c r="CR98" a="1"/>
  <c r="CD114" a="1"/>
  <c r="CR42" a="1"/>
  <c r="CR154" a="1"/>
  <c r="CD34" a="1"/>
  <c r="CF26" l="1"/>
  <c r="CD26"/>
  <c r="CR92"/>
  <c r="CU85"/>
  <c r="CY82" s="1"/>
  <c r="CS83"/>
  <c r="CT82"/>
  <c r="CT83"/>
  <c r="CU83"/>
  <c r="CR84"/>
  <c r="CT85"/>
  <c r="CS85"/>
  <c r="CU82"/>
  <c r="CS82"/>
  <c r="CR83"/>
  <c r="CT53"/>
  <c r="CR53"/>
  <c r="CU84"/>
  <c r="CT84"/>
  <c r="CX82" s="1"/>
  <c r="CR82"/>
  <c r="CW82" s="1"/>
  <c r="CS84"/>
  <c r="CT92"/>
  <c r="CX90" s="1"/>
  <c r="CS91"/>
  <c r="CR90"/>
  <c r="CT91"/>
  <c r="CU93"/>
  <c r="CY90" s="1"/>
  <c r="CU92"/>
  <c r="CR91"/>
  <c r="CS92"/>
  <c r="CT90"/>
  <c r="CU91"/>
  <c r="CE106"/>
  <c r="CW122"/>
  <c r="CT93"/>
  <c r="CS90"/>
  <c r="CU90"/>
  <c r="CE146"/>
  <c r="CF146"/>
  <c r="CR109"/>
  <c r="CT29"/>
  <c r="CU11"/>
  <c r="CU28"/>
  <c r="CU27"/>
  <c r="CT26"/>
  <c r="CS12"/>
  <c r="CS147"/>
  <c r="CS26"/>
  <c r="CR27"/>
  <c r="CR26"/>
  <c r="CT27"/>
  <c r="CR28"/>
  <c r="CS27"/>
  <c r="CU26"/>
  <c r="CS28"/>
  <c r="CS29"/>
  <c r="CT28"/>
  <c r="CX26" s="1"/>
  <c r="CU29"/>
  <c r="CY26" s="1"/>
  <c r="CS108"/>
  <c r="CU106"/>
  <c r="CU109"/>
  <c r="CY106" s="1"/>
  <c r="CR11"/>
  <c r="CU107"/>
  <c r="CR108"/>
  <c r="CS109"/>
  <c r="CU148"/>
  <c r="CR107"/>
  <c r="CR106"/>
  <c r="CT11"/>
  <c r="CU108"/>
  <c r="CT106"/>
  <c r="CT109"/>
  <c r="CR146"/>
  <c r="CE98"/>
  <c r="CT108"/>
  <c r="CX106" s="1"/>
  <c r="CS107"/>
  <c r="CW106" s="1"/>
  <c r="CS106"/>
  <c r="CT147"/>
  <c r="CR12"/>
  <c r="CU12"/>
  <c r="CT13"/>
  <c r="CS10"/>
  <c r="CU10"/>
  <c r="CR13"/>
  <c r="CS149"/>
  <c r="CR148"/>
  <c r="CT148"/>
  <c r="CX146" s="1"/>
  <c r="CU149"/>
  <c r="CY146" s="1"/>
  <c r="CT10"/>
  <c r="CU13"/>
  <c r="CY10" s="1"/>
  <c r="CR10"/>
  <c r="CW10" s="1"/>
  <c r="CS13"/>
  <c r="CR149"/>
  <c r="CS148"/>
  <c r="CS146"/>
  <c r="CU146"/>
  <c r="CT12"/>
  <c r="CX10" s="1"/>
  <c r="CR147"/>
  <c r="CT149"/>
  <c r="CU147"/>
  <c r="CS21"/>
  <c r="CR21"/>
  <c r="CS20"/>
  <c r="CR20"/>
  <c r="CU19"/>
  <c r="CU21"/>
  <c r="CY18" s="1"/>
  <c r="CT18"/>
  <c r="CU18"/>
  <c r="CS19"/>
  <c r="CR19"/>
  <c r="CS18"/>
  <c r="CR18"/>
  <c r="CT20"/>
  <c r="CX18" s="1"/>
  <c r="CT19"/>
  <c r="CU20"/>
  <c r="CT21"/>
  <c r="CD18"/>
  <c r="CE18"/>
  <c r="CF18"/>
  <c r="CE58"/>
  <c r="CE194"/>
  <c r="CF98"/>
  <c r="CE186"/>
  <c r="CF194"/>
  <c r="CF186"/>
  <c r="CD58"/>
  <c r="CE66"/>
  <c r="CD66"/>
  <c r="CF66"/>
  <c r="CS186"/>
  <c r="CT186"/>
  <c r="CR186"/>
  <c r="CU186"/>
  <c r="CS187"/>
  <c r="CU187"/>
  <c r="CR187"/>
  <c r="CS188"/>
  <c r="CU188"/>
  <c r="CR188"/>
  <c r="CT187"/>
  <c r="CS189"/>
  <c r="CU189"/>
  <c r="CY186" s="1"/>
  <c r="DB186" s="1"/>
  <c r="CR189"/>
  <c r="CT189"/>
  <c r="CT188"/>
  <c r="CX186" s="1"/>
  <c r="CD74"/>
  <c r="CE74"/>
  <c r="CF74"/>
  <c r="CR154"/>
  <c r="CU157"/>
  <c r="CY154" s="1"/>
  <c r="CU155"/>
  <c r="CT157"/>
  <c r="CT154"/>
  <c r="CT156"/>
  <c r="CX154" s="1"/>
  <c r="CS154"/>
  <c r="CS156"/>
  <c r="CR157"/>
  <c r="CS157"/>
  <c r="CU154"/>
  <c r="CR155"/>
  <c r="CR156"/>
  <c r="CS155"/>
  <c r="CT155"/>
  <c r="CU156"/>
  <c r="CF114"/>
  <c r="CD114"/>
  <c r="CE114"/>
  <c r="CD170"/>
  <c r="CE170"/>
  <c r="CF170"/>
  <c r="CD130"/>
  <c r="CF130"/>
  <c r="CE130"/>
  <c r="CR170"/>
  <c r="CS173"/>
  <c r="CU172"/>
  <c r="CT171"/>
  <c r="CR173"/>
  <c r="CR171"/>
  <c r="CU171"/>
  <c r="CR172"/>
  <c r="CT170"/>
  <c r="CT172"/>
  <c r="CX170" s="1"/>
  <c r="CT173"/>
  <c r="CS172"/>
  <c r="CS170"/>
  <c r="CU173"/>
  <c r="CY170" s="1"/>
  <c r="DB170" s="1"/>
  <c r="CS171"/>
  <c r="CU170"/>
  <c r="CT75"/>
  <c r="CU76"/>
  <c r="CS74"/>
  <c r="CR77"/>
  <c r="CR76"/>
  <c r="CS77"/>
  <c r="CU74"/>
  <c r="CR75"/>
  <c r="CT74"/>
  <c r="CU77"/>
  <c r="CY74" s="1"/>
  <c r="CS75"/>
  <c r="CR74"/>
  <c r="CS76"/>
  <c r="CT77"/>
  <c r="CU75"/>
  <c r="CT76"/>
  <c r="CX74" s="1"/>
  <c r="CR60"/>
  <c r="CU59"/>
  <c r="CS59"/>
  <c r="CS61"/>
  <c r="CT58"/>
  <c r="CR61"/>
  <c r="CS58"/>
  <c r="CS60"/>
  <c r="CR58"/>
  <c r="CU61"/>
  <c r="CY58" s="1"/>
  <c r="CT61"/>
  <c r="CT60"/>
  <c r="CX58" s="1"/>
  <c r="CU60"/>
  <c r="CR59"/>
  <c r="CU58"/>
  <c r="CT59"/>
  <c r="CR69"/>
  <c r="CU68"/>
  <c r="CU67"/>
  <c r="CS66"/>
  <c r="CT66"/>
  <c r="CR66"/>
  <c r="CS67"/>
  <c r="CT67"/>
  <c r="CT68"/>
  <c r="CX66" s="1"/>
  <c r="CT69"/>
  <c r="CS68"/>
  <c r="CU69"/>
  <c r="CY66" s="1"/>
  <c r="CS69"/>
  <c r="CR68"/>
  <c r="CU66"/>
  <c r="CR67"/>
  <c r="CE154"/>
  <c r="CF154"/>
  <c r="CD154"/>
  <c r="CU115"/>
  <c r="CU114"/>
  <c r="CR114"/>
  <c r="CT115"/>
  <c r="CT114"/>
  <c r="CR117"/>
  <c r="CR116"/>
  <c r="CS114"/>
  <c r="CT116"/>
  <c r="CX114" s="1"/>
  <c r="CS117"/>
  <c r="CR115"/>
  <c r="CU117"/>
  <c r="CY114" s="1"/>
  <c r="CU116"/>
  <c r="CS116"/>
  <c r="CS115"/>
  <c r="CT117"/>
  <c r="DD178"/>
  <c r="CW178"/>
  <c r="CF34"/>
  <c r="CD34"/>
  <c r="CE34"/>
  <c r="CT43"/>
  <c r="CU45"/>
  <c r="CY42" s="1"/>
  <c r="CS42"/>
  <c r="CR45"/>
  <c r="CR43"/>
  <c r="CU44"/>
  <c r="CT44"/>
  <c r="CX42" s="1"/>
  <c r="CS45"/>
  <c r="CR42"/>
  <c r="CU43"/>
  <c r="CT42"/>
  <c r="CT45"/>
  <c r="CU42"/>
  <c r="CS43"/>
  <c r="CR44"/>
  <c r="CS44"/>
  <c r="CS100"/>
  <c r="CT101"/>
  <c r="CT98"/>
  <c r="CT100"/>
  <c r="CX98" s="1"/>
  <c r="CR101"/>
  <c r="CR99"/>
  <c r="CS99"/>
  <c r="CS101"/>
  <c r="CU101"/>
  <c r="CY98" s="1"/>
  <c r="CU98"/>
  <c r="CT99"/>
  <c r="CU100"/>
  <c r="CS98"/>
  <c r="CU99"/>
  <c r="CR98"/>
  <c r="CR100"/>
  <c r="CT194"/>
  <c r="CR194"/>
  <c r="CU196"/>
  <c r="CR196"/>
  <c r="CU194"/>
  <c r="CT197"/>
  <c r="CS195"/>
  <c r="CR197"/>
  <c r="CS197"/>
  <c r="CR195"/>
  <c r="CS194"/>
  <c r="CS196"/>
  <c r="CT195"/>
  <c r="CU197"/>
  <c r="CY194" s="1"/>
  <c r="DB194" s="1"/>
  <c r="CU195"/>
  <c r="CT196"/>
  <c r="CX194" s="1"/>
  <c r="CF162"/>
  <c r="CD162"/>
  <c r="CE162"/>
  <c r="CW138"/>
  <c r="CS133"/>
  <c r="CS131"/>
  <c r="CR133"/>
  <c r="CR131"/>
  <c r="CR130"/>
  <c r="CS132"/>
  <c r="CT133"/>
  <c r="CR132"/>
  <c r="CT130"/>
  <c r="CU130"/>
  <c r="CT131"/>
  <c r="CU131"/>
  <c r="CU132"/>
  <c r="CS130"/>
  <c r="CT132"/>
  <c r="CX130" s="1"/>
  <c r="CU133"/>
  <c r="CY130" s="1"/>
  <c r="CR163"/>
  <c r="CU164"/>
  <c r="CS163"/>
  <c r="CR165"/>
  <c r="CU162"/>
  <c r="CR162"/>
  <c r="CT162"/>
  <c r="CS162"/>
  <c r="CT165"/>
  <c r="CT163"/>
  <c r="CS164"/>
  <c r="CU165"/>
  <c r="CY162" s="1"/>
  <c r="DB162" s="1"/>
  <c r="CU163"/>
  <c r="CS165"/>
  <c r="CT164"/>
  <c r="CX162" s="1"/>
  <c r="CR164"/>
  <c r="CS34"/>
  <c r="CS36"/>
  <c r="CR34"/>
  <c r="CR36"/>
  <c r="CS35"/>
  <c r="CS37"/>
  <c r="CR35"/>
  <c r="CR37"/>
  <c r="CT35"/>
  <c r="CT36"/>
  <c r="CX34" s="1"/>
  <c r="CU34"/>
  <c r="CU37"/>
  <c r="CY34" s="1"/>
  <c r="CT34"/>
  <c r="CT37"/>
  <c r="CU35"/>
  <c r="CU36"/>
  <c r="CD42"/>
  <c r="CE42"/>
  <c r="CF42"/>
  <c r="CW50"/>
  <c r="O4"/>
  <c r="Q4" s="1"/>
  <c r="O6"/>
  <c r="Q6" s="1"/>
  <c r="O8"/>
  <c r="Q8" s="1"/>
  <c r="O3"/>
  <c r="Q3" s="1"/>
  <c r="O5"/>
  <c r="Q5" s="1"/>
  <c r="O7"/>
  <c r="Q7" s="1"/>
  <c r="CW90" l="1"/>
  <c r="CW146"/>
  <c r="CW26"/>
  <c r="CW18"/>
  <c r="DD186"/>
  <c r="CW186"/>
  <c r="CW162"/>
  <c r="DD162"/>
  <c r="CW98"/>
  <c r="CW42"/>
  <c r="CW114"/>
  <c r="CW66"/>
  <c r="CW74"/>
  <c r="CW154"/>
  <c r="CW34"/>
  <c r="CW130"/>
  <c r="CW194"/>
  <c r="DD194"/>
  <c r="CW58"/>
  <c r="CW170"/>
  <c r="DD170"/>
  <c r="R7"/>
  <c r="U7" s="1"/>
  <c r="S7"/>
  <c r="R5"/>
  <c r="U5" s="1"/>
  <c r="S5"/>
  <c r="S3"/>
  <c r="R3"/>
  <c r="U3" s="1"/>
  <c r="R8"/>
  <c r="U8" s="1"/>
  <c r="S8"/>
  <c r="R6"/>
  <c r="U6" s="1"/>
  <c r="S6"/>
  <c r="R4"/>
  <c r="U4" s="1"/>
  <c r="S4"/>
  <c r="AA8" l="1"/>
  <c r="Z5"/>
  <c r="AA3"/>
  <c r="AA6"/>
  <c r="AA4"/>
  <c r="Z3" l="1"/>
  <c r="Y3"/>
  <c r="V3"/>
  <c r="AA5"/>
  <c r="V7"/>
  <c r="Y7"/>
  <c r="V4"/>
  <c r="Y4"/>
  <c r="V8"/>
  <c r="Y8"/>
  <c r="V6"/>
  <c r="Y6"/>
  <c r="Z8"/>
  <c r="Z4"/>
  <c r="V5"/>
  <c r="Y5"/>
  <c r="AA7"/>
  <c r="Z7"/>
  <c r="Z6"/>
  <c r="AD2" l="1" a="1"/>
  <c r="AG2" s="1"/>
  <c r="AF2" l="1"/>
  <c r="AI2"/>
  <c r="AI3"/>
  <c r="AG4"/>
  <c r="AJ3"/>
  <c r="AH3"/>
  <c r="AH2"/>
  <c r="AI5"/>
  <c r="AG5"/>
  <c r="AF5"/>
  <c r="AJ5"/>
  <c r="AE5"/>
  <c r="AD5"/>
  <c r="AH5"/>
  <c r="AD2"/>
  <c r="AD3"/>
  <c r="AD4"/>
  <c r="AH4"/>
  <c r="AJ4"/>
  <c r="AG3"/>
  <c r="AE2"/>
  <c r="AE3"/>
  <c r="AE4"/>
  <c r="AF4"/>
  <c r="AI4"/>
  <c r="AJ2"/>
  <c r="AF3"/>
  <c r="AL2" l="1" a="1"/>
  <c r="AL2" l="1"/>
  <c r="AN3"/>
  <c r="AN5"/>
  <c r="AN2"/>
  <c r="AO4"/>
  <c r="AM4"/>
  <c r="AM3"/>
  <c r="AM5"/>
  <c r="AO2"/>
  <c r="AM2"/>
  <c r="AL3"/>
  <c r="AL5"/>
  <c r="AN4"/>
  <c r="AL4"/>
  <c r="AO3"/>
  <c r="AO5"/>
  <c r="AQ2" l="1" a="1"/>
  <c r="AQ4" l="1"/>
  <c r="AR4"/>
  <c r="AS4"/>
  <c r="AT4"/>
  <c r="AQ5"/>
  <c r="AR5"/>
  <c r="AS5"/>
  <c r="AT5"/>
  <c r="AQ2"/>
  <c r="AR2"/>
  <c r="AS2"/>
  <c r="AT2"/>
  <c r="AQ3"/>
  <c r="AR3"/>
  <c r="AS3"/>
  <c r="AT3"/>
  <c r="BB195" l="1"/>
  <c r="BB163"/>
  <c r="BB67"/>
  <c r="BB54"/>
  <c r="BB135"/>
  <c r="BB96"/>
  <c r="BB92"/>
  <c r="BB157"/>
  <c r="BB55"/>
  <c r="BB176"/>
  <c r="BB159"/>
  <c r="BB111"/>
  <c r="BB150"/>
  <c r="BB192"/>
  <c r="BB98"/>
  <c r="BB175"/>
  <c r="BB61"/>
  <c r="BB139"/>
  <c r="BB75"/>
  <c r="BB168"/>
  <c r="BB136"/>
  <c r="BB34"/>
  <c r="BB58"/>
  <c r="BB120"/>
  <c r="BB72"/>
  <c r="BB124"/>
  <c r="BB191"/>
  <c r="BB29"/>
  <c r="BB99"/>
  <c r="BB142"/>
  <c r="BB104"/>
  <c r="BB100"/>
  <c r="BB102"/>
  <c r="BB116"/>
  <c r="BB38"/>
  <c r="BB47"/>
  <c r="BB21"/>
  <c r="BB183"/>
  <c r="BB31"/>
  <c r="BB154"/>
  <c r="BB174"/>
  <c r="BB122"/>
  <c r="BB167"/>
  <c r="BB112"/>
  <c r="BB35"/>
  <c r="BB84"/>
  <c r="BB22"/>
  <c r="BB132"/>
  <c r="BB162"/>
  <c r="BB50"/>
  <c r="BB125"/>
  <c r="BB94"/>
  <c r="BB149"/>
  <c r="BB117"/>
  <c r="BB19"/>
  <c r="BB103"/>
  <c r="BB68"/>
  <c r="BB107"/>
  <c r="BB141"/>
  <c r="BB186"/>
  <c r="BB184"/>
  <c r="BB43"/>
  <c r="BB123"/>
  <c r="BB128"/>
  <c r="BB79"/>
  <c r="BB118"/>
  <c r="BB130"/>
  <c r="BB90"/>
  <c r="BB20"/>
  <c r="BB131"/>
  <c r="BB23"/>
  <c r="BB110"/>
  <c r="BB27"/>
  <c r="BB85"/>
  <c r="BB82"/>
  <c r="BB32"/>
  <c r="BB59"/>
  <c r="BB83"/>
  <c r="BB95"/>
  <c r="BB91"/>
  <c r="BB44"/>
  <c r="BB87"/>
  <c r="BB51"/>
  <c r="BB119"/>
  <c r="BB74"/>
  <c r="BB26"/>
  <c r="BB77"/>
  <c r="BB78"/>
  <c r="BB115"/>
  <c r="BB45"/>
  <c r="BB36"/>
  <c r="BB46"/>
  <c r="BB42"/>
  <c r="BB138"/>
  <c r="BB66"/>
  <c r="BB127"/>
  <c r="BB155"/>
  <c r="BB30"/>
  <c r="BB178"/>
  <c r="BB179"/>
  <c r="BB52"/>
  <c r="BB152"/>
  <c r="BB144"/>
  <c r="BB86"/>
  <c r="BB190"/>
  <c r="BB182"/>
  <c r="BB140"/>
  <c r="BB196"/>
  <c r="BB109"/>
  <c r="BB166"/>
  <c r="BB147"/>
  <c r="BB194"/>
  <c r="BB40"/>
  <c r="BB197"/>
  <c r="BB93"/>
  <c r="BB70"/>
  <c r="BB146"/>
  <c r="BB156"/>
  <c r="BB24"/>
  <c r="BB198"/>
  <c r="BB148"/>
  <c r="BB114"/>
  <c r="BB56"/>
  <c r="BB171"/>
  <c r="BB151"/>
  <c r="BB188"/>
  <c r="BB53"/>
  <c r="BB180"/>
  <c r="BB37"/>
  <c r="BB108"/>
  <c r="BB60"/>
  <c r="BB126"/>
  <c r="BB62"/>
  <c r="BB200"/>
  <c r="BB160"/>
  <c r="BB80"/>
  <c r="BB173"/>
  <c r="BB158"/>
  <c r="BB165"/>
  <c r="BB189"/>
  <c r="BB164"/>
  <c r="BB181"/>
  <c r="BB143"/>
  <c r="BB170"/>
  <c r="BB133"/>
  <c r="BB134"/>
  <c r="BB187"/>
  <c r="BB88"/>
  <c r="BB18"/>
  <c r="BB64"/>
  <c r="BB69"/>
  <c r="BB63"/>
  <c r="BB48"/>
  <c r="BB39"/>
  <c r="BB71"/>
  <c r="BB106"/>
  <c r="BB28"/>
  <c r="BB76"/>
  <c r="BB199"/>
  <c r="BB172"/>
  <c r="BB101"/>
  <c r="BB14"/>
  <c r="BB10"/>
  <c r="BB15"/>
  <c r="BB11"/>
  <c r="BB16"/>
  <c r="BB12"/>
  <c r="BB13"/>
  <c r="BC113" l="1"/>
  <c r="BD113"/>
  <c r="CZ106" s="1"/>
  <c r="BD177"/>
  <c r="BC177"/>
  <c r="BD153"/>
  <c r="CZ146" s="1"/>
  <c r="BC153"/>
  <c r="BC145"/>
  <c r="BD145"/>
  <c r="CZ138" s="1"/>
  <c r="BC89"/>
  <c r="BD89"/>
  <c r="CZ82" s="1"/>
  <c r="BD137"/>
  <c r="CZ130" s="1"/>
  <c r="BC137"/>
  <c r="BC41"/>
  <c r="BD41"/>
  <c r="CZ34" s="1"/>
  <c r="BC129"/>
  <c r="BD25"/>
  <c r="CZ18" s="1"/>
  <c r="BC25"/>
  <c r="BC121"/>
  <c r="BD121"/>
  <c r="CZ114" s="1"/>
  <c r="BC185"/>
  <c r="BD185"/>
  <c r="BD73"/>
  <c r="CZ66" s="1"/>
  <c r="BC73"/>
  <c r="BD97"/>
  <c r="CZ90" s="1"/>
  <c r="BC97"/>
  <c r="BD193"/>
  <c r="BC193"/>
  <c r="BD169"/>
  <c r="BC169"/>
  <c r="BD65"/>
  <c r="CZ58" s="1"/>
  <c r="BC65"/>
  <c r="BD105"/>
  <c r="CZ98" s="1"/>
  <c r="BC105"/>
  <c r="BD129"/>
  <c r="CZ122" s="1"/>
  <c r="BD81"/>
  <c r="CZ74" s="1"/>
  <c r="BC81"/>
  <c r="BC57"/>
  <c r="BD57"/>
  <c r="CZ50" s="1"/>
  <c r="BD201"/>
  <c r="BC201"/>
  <c r="BD49"/>
  <c r="CZ42" s="1"/>
  <c r="BC49"/>
  <c r="BD33"/>
  <c r="CZ26" s="1"/>
  <c r="BC33"/>
  <c r="BD161"/>
  <c r="CZ154" s="1"/>
  <c r="BC161"/>
  <c r="BC17"/>
  <c r="BD17"/>
  <c r="CZ10" s="1"/>
  <c r="DB154" l="1"/>
  <c r="DD154"/>
  <c r="DD42"/>
  <c r="DB42"/>
  <c r="DB146"/>
  <c r="DD146"/>
  <c r="DD50"/>
  <c r="DB50"/>
  <c r="DB122"/>
  <c r="DD122"/>
  <c r="DB58"/>
  <c r="DD58"/>
  <c r="DB66"/>
  <c r="DD66"/>
  <c r="DB34"/>
  <c r="DD34"/>
  <c r="DD82"/>
  <c r="DB82"/>
  <c r="DD106"/>
  <c r="DB106"/>
  <c r="DD26"/>
  <c r="DB26"/>
  <c r="DB74"/>
  <c r="DD74"/>
  <c r="DB114"/>
  <c r="DD114"/>
  <c r="DB130"/>
  <c r="DD130"/>
  <c r="DB98"/>
  <c r="DD98"/>
  <c r="DD90"/>
  <c r="DB90"/>
  <c r="DB18"/>
  <c r="DD18"/>
  <c r="DD138"/>
  <c r="DB138"/>
  <c r="DD10"/>
  <c r="DB10"/>
  <c r="AV4" l="1"/>
  <c r="AV2" a="1"/>
  <c r="AV3" s="1"/>
  <c r="V2"/>
  <c r="W9" s="1"/>
  <c r="X9"/>
  <c r="AV5" l="1"/>
  <c r="AV2"/>
  <c r="AX2" l="1" a="1"/>
  <c r="AX2" l="1"/>
  <c r="AX5"/>
  <c r="BG2" s="1"/>
  <c r="AX3"/>
  <c r="BE2" s="1"/>
  <c r="AX4"/>
  <c r="BF2" s="1"/>
  <c r="BA2" l="1"/>
  <c r="BB2" s="1"/>
  <c r="BA8"/>
  <c r="BB8" s="1"/>
  <c r="BD2"/>
  <c r="BA4"/>
  <c r="BB4" s="1"/>
  <c r="BA5"/>
  <c r="BB5" s="1"/>
  <c r="BA6"/>
  <c r="BB6" s="1"/>
  <c r="BA7"/>
  <c r="BB7" s="1"/>
  <c r="BA3"/>
  <c r="BB3" s="1"/>
  <c r="BH2"/>
  <c r="BJ2"/>
  <c r="BI2"/>
  <c r="BL2"/>
  <c r="BN2"/>
  <c r="BM2"/>
  <c r="BQ2"/>
  <c r="BP2"/>
  <c r="BO2"/>
  <c r="B2" i="14" l="1"/>
  <c r="B2" i="15" s="1"/>
  <c r="BT2" i="13"/>
  <c r="BT3"/>
  <c r="BU4"/>
  <c r="BU2"/>
  <c r="BU3"/>
  <c r="BS4"/>
  <c r="BS3"/>
  <c r="BS2"/>
  <c r="A2" i="14"/>
  <c r="A2" i="15" s="1"/>
  <c r="BC9" i="13"/>
  <c r="BD9"/>
  <c r="CZ2" s="1"/>
  <c r="BX2" l="1" a="1"/>
  <c r="BX2" s="1"/>
  <c r="BX4" l="1"/>
  <c r="BX3"/>
  <c r="BZ4"/>
  <c r="BZ2"/>
  <c r="BY4"/>
  <c r="BY2"/>
  <c r="BY3"/>
  <c r="BZ3"/>
  <c r="CM2" l="1" a="1"/>
  <c r="CO4" s="1"/>
  <c r="CB2" a="1"/>
  <c r="CB2" s="1"/>
  <c r="CH2" a="1"/>
  <c r="CH2" s="1"/>
  <c r="CM3" l="1"/>
  <c r="CN4"/>
  <c r="CM4"/>
  <c r="CK2"/>
  <c r="CJ4"/>
  <c r="CI5"/>
  <c r="CJ2"/>
  <c r="CH3"/>
  <c r="CI4"/>
  <c r="CK3"/>
  <c r="CJ5"/>
  <c r="CJ3"/>
  <c r="CH4"/>
  <c r="CK5"/>
  <c r="CI3"/>
  <c r="CO5"/>
  <c r="CM5"/>
  <c r="CP4"/>
  <c r="CN5"/>
  <c r="CP5"/>
  <c r="CP2"/>
  <c r="CP3"/>
  <c r="CN2"/>
  <c r="CO2"/>
  <c r="CM2"/>
  <c r="CB4"/>
  <c r="CB3"/>
  <c r="CD2" s="1" a="1"/>
  <c r="CI2"/>
  <c r="CK4"/>
  <c r="CH5"/>
  <c r="CN3"/>
  <c r="CO3"/>
  <c r="CR2" l="1" a="1"/>
  <c r="CT5" s="1"/>
  <c r="CE2"/>
  <c r="CF2"/>
  <c r="CD2"/>
  <c r="CR3" l="1"/>
  <c r="CU4"/>
  <c r="CS3"/>
  <c r="CS5"/>
  <c r="CU5"/>
  <c r="CY2" s="1"/>
  <c r="DB2" s="1"/>
  <c r="CS2"/>
  <c r="CR4"/>
  <c r="CR2"/>
  <c r="CT4"/>
  <c r="CX2" s="1"/>
  <c r="CU2"/>
  <c r="CT3"/>
  <c r="CS4"/>
  <c r="CT2"/>
  <c r="CU3"/>
  <c r="CR5"/>
  <c r="DD2"/>
  <c r="CW2" l="1"/>
</calcChain>
</file>

<file path=xl/comments1.xml><?xml version="1.0" encoding="utf-8"?>
<comments xmlns="http://schemas.openxmlformats.org/spreadsheetml/2006/main">
  <authors>
    <author>Alessandro Caporali</author>
  </authors>
  <commentList>
    <comment ref="B2" authorId="0">
      <text>
        <r>
          <rPr>
            <b/>
            <sz val="9"/>
            <color indexed="81"/>
            <rFont val="Tahoma"/>
            <family val="2"/>
          </rPr>
          <t>Alessandro Caporali:</t>
        </r>
        <r>
          <rPr>
            <sz val="9"/>
            <color indexed="81"/>
            <rFont val="Tahoma"/>
            <family val="2"/>
          </rPr>
          <t xml:space="preserve">
ore dopo le 8:45 del 21 maggio 2010. NB le orbite sono date alle 8:45
</t>
        </r>
      </text>
    </comment>
  </commentList>
</comments>
</file>

<file path=xl/comments2.xml><?xml version="1.0" encoding="utf-8"?>
<comments xmlns="http://schemas.openxmlformats.org/spreadsheetml/2006/main">
  <authors>
    <author>Alessandro Caporali</author>
  </authors>
  <commentList>
    <comment ref="B2" authorId="0">
      <text>
        <r>
          <rPr>
            <b/>
            <sz val="9"/>
            <color indexed="81"/>
            <rFont val="Tahoma"/>
            <family val="2"/>
          </rPr>
          <t>Alessandro Caporali:</t>
        </r>
        <r>
          <rPr>
            <sz val="9"/>
            <color indexed="81"/>
            <rFont val="Tahoma"/>
            <family val="2"/>
          </rPr>
          <t xml:space="preserve">
ore dopo le 8:45 del 21 maggio 2010. NB le orbite sono date alle 8:45
</t>
        </r>
      </text>
    </comment>
  </commentList>
</comments>
</file>

<file path=xl/sharedStrings.xml><?xml version="1.0" encoding="utf-8"?>
<sst xmlns="http://schemas.openxmlformats.org/spreadsheetml/2006/main" count="1324" uniqueCount="176">
  <si>
    <t>*  2</t>
  </si>
  <si>
    <t>PG01</t>
  </si>
  <si>
    <t>PG02</t>
  </si>
  <si>
    <t>PG03</t>
  </si>
  <si>
    <t>PG04</t>
  </si>
  <si>
    <t>PG05</t>
  </si>
  <si>
    <t>PG06</t>
  </si>
  <si>
    <t>PG07</t>
  </si>
  <si>
    <t>PG08</t>
  </si>
  <si>
    <t>PG09</t>
  </si>
  <si>
    <t>PG10</t>
  </si>
  <si>
    <t>PG11</t>
  </si>
  <si>
    <t>PG12</t>
  </si>
  <si>
    <t>PG13</t>
  </si>
  <si>
    <t>PG14</t>
  </si>
  <si>
    <t>PG15</t>
  </si>
  <si>
    <t>PG16</t>
  </si>
  <si>
    <t>PG17</t>
  </si>
  <si>
    <t>PG18</t>
  </si>
  <si>
    <t>PG19</t>
  </si>
  <si>
    <t>PG20</t>
  </si>
  <si>
    <t>PG21</t>
  </si>
  <si>
    <t>PG22</t>
  </si>
  <si>
    <t>PG23</t>
  </si>
  <si>
    <t>PG24</t>
  </si>
  <si>
    <t>PG26</t>
  </si>
  <si>
    <t>PG27</t>
  </si>
  <si>
    <t>PG28</t>
  </si>
  <si>
    <t>PG29</t>
  </si>
  <si>
    <t>PG30</t>
  </si>
  <si>
    <t>PG31</t>
  </si>
  <si>
    <t>PG32</t>
  </si>
  <si>
    <t>t^2</t>
  </si>
  <si>
    <t>t^3</t>
  </si>
  <si>
    <t>x</t>
  </si>
  <si>
    <t>y</t>
  </si>
  <si>
    <t>z</t>
  </si>
  <si>
    <t>t</t>
  </si>
  <si>
    <t>a2</t>
  </si>
  <si>
    <t>a3</t>
  </si>
  <si>
    <t>a1</t>
  </si>
  <si>
    <t>a0</t>
  </si>
  <si>
    <t>x res</t>
  </si>
  <si>
    <t>y res</t>
  </si>
  <si>
    <t>z res</t>
  </si>
  <si>
    <t>t res</t>
  </si>
  <si>
    <t>coefficienti</t>
  </si>
  <si>
    <t>clite</t>
  </si>
  <si>
    <t>TOF</t>
  </si>
  <si>
    <t>t^4</t>
  </si>
  <si>
    <t>a4</t>
  </si>
  <si>
    <t>C1</t>
  </si>
  <si>
    <t>L1</t>
  </si>
  <si>
    <t>D1</t>
  </si>
  <si>
    <t>P2</t>
  </si>
  <si>
    <t>L2</t>
  </si>
  <si>
    <t>X</t>
  </si>
  <si>
    <t>Y</t>
  </si>
  <si>
    <t>Z</t>
  </si>
  <si>
    <t>PARX</t>
  </si>
  <si>
    <t>PARY</t>
  </si>
  <si>
    <t>PARZ</t>
  </si>
  <si>
    <t>PART</t>
  </si>
  <si>
    <t>HT</t>
  </si>
  <si>
    <t>HTH</t>
  </si>
  <si>
    <t>HTH^-1</t>
  </si>
  <si>
    <t>HTY</t>
  </si>
  <si>
    <t>Delta (m)</t>
  </si>
  <si>
    <t>range a post</t>
  </si>
  <si>
    <t>rot_rate</t>
  </si>
  <si>
    <t xml:space="preserve">PG31 -23036.038895   7722.914361  11145.059367    -35.391760  5  8  6 116       </t>
  </si>
  <si>
    <t>PG32   6508.196094  24855.547166  -7050.009736 999999.999999</t>
  </si>
  <si>
    <t>010  5 21  8 45</t>
  </si>
  <si>
    <t>010  5 21  9  0</t>
  </si>
  <si>
    <t>010  5 21  9 15</t>
  </si>
  <si>
    <t>010  5 21  9 30</t>
  </si>
  <si>
    <t>010  5 21  9 45</t>
  </si>
  <si>
    <t>tetto</t>
  </si>
  <si>
    <t>lat</t>
  </si>
  <si>
    <t>lon</t>
  </si>
  <si>
    <t>h</t>
  </si>
  <si>
    <t>dd_lat</t>
  </si>
  <si>
    <t>mm_lat</t>
  </si>
  <si>
    <t>ss_lat</t>
  </si>
  <si>
    <t>dd_lon</t>
  </si>
  <si>
    <t>mm_lon</t>
  </si>
  <si>
    <t>ss_lon</t>
  </si>
  <si>
    <t>dn</t>
  </si>
  <si>
    <t>de</t>
  </si>
  <si>
    <t>dh</t>
  </si>
  <si>
    <t>dx</t>
  </si>
  <si>
    <t>dy</t>
  </si>
  <si>
    <t>dz</t>
  </si>
  <si>
    <t>d_lat</t>
  </si>
  <si>
    <t>d_lon</t>
  </si>
  <si>
    <t>d_h</t>
  </si>
  <si>
    <t>dn/de/dh</t>
  </si>
  <si>
    <t>R*(HTH)^-1</t>
  </si>
  <si>
    <t>R*(HTH)^-1*RT</t>
  </si>
  <si>
    <t>RT</t>
  </si>
  <si>
    <t>HDOP</t>
  </si>
  <si>
    <t>VDOP</t>
  </si>
  <si>
    <t>TDOP</t>
  </si>
  <si>
    <t>KVPL</t>
  </si>
  <si>
    <t>sigma0</t>
  </si>
  <si>
    <t>VPL</t>
  </si>
  <si>
    <t>HPL</t>
  </si>
  <si>
    <t>KHPL</t>
  </si>
  <si>
    <t>T( ore dopo le 8:45)</t>
  </si>
  <si>
    <t>T (musec)</t>
  </si>
  <si>
    <t>t(hr) dopo le 8:45</t>
  </si>
  <si>
    <t>t^5</t>
  </si>
  <si>
    <t>t^6</t>
  </si>
  <si>
    <t>t^7</t>
  </si>
  <si>
    <t>t^8</t>
  </si>
  <si>
    <t>a8</t>
  </si>
  <si>
    <t>a7</t>
  </si>
  <si>
    <t>a6</t>
  </si>
  <si>
    <t>a5</t>
  </si>
  <si>
    <t>*</t>
  </si>
  <si>
    <t>inizia a muoversi!</t>
  </si>
  <si>
    <t>time of flight</t>
  </si>
  <si>
    <t>sec (nominal)</t>
  </si>
  <si>
    <t>range a priori</t>
  </si>
  <si>
    <t>rcvr Bias a priori (m)</t>
  </si>
  <si>
    <t>receiver bias a post</t>
  </si>
  <si>
    <t>rcvr bias (m)</t>
  </si>
  <si>
    <t>media</t>
  </si>
  <si>
    <t>rms</t>
  </si>
  <si>
    <t>Latitude</t>
  </si>
  <si>
    <t>Longitude</t>
  </si>
  <si>
    <t>LineStringColor</t>
  </si>
  <si>
    <t>Icon</t>
  </si>
  <si>
    <t>IconColor</t>
  </si>
  <si>
    <t>IconHeading</t>
  </si>
  <si>
    <t>cyan</t>
  </si>
  <si>
    <t>yellow</t>
  </si>
  <si>
    <t>line-180</t>
  </si>
  <si>
    <t>T (metri)</t>
  </si>
  <si>
    <t>Zcorr (km)</t>
  </si>
  <si>
    <t>Ycorr (km)</t>
  </si>
  <si>
    <t>Xcorr (km)</t>
  </si>
  <si>
    <t>Spiegazione: in questo foglio vengono considerati i dati rinex di osservazione, le coordinate a priori e le orbite precise per effettuare un calcolo ripetuto di posizione. Le coordinate misurate vencono corredate di un'analisi di qualità e vengono infine preparate per il plottaggio su cartografia raster Google Earth. I fogli SP3 e sv02..sv23 ricalcano quelli del fogli orbite_precise_broadcast. Il foglio 'tetto' presenta il calcolo di posizione, basato sui soli dati C/A. Qusti sono contenuti nel file rinex PPP_tetto2105.10O, a partire delle ore 9:00:00. I dati sono caricati nelle colonne A-H, ma solo quelli nella colonna del codice C/A verranno usati. Future estensioni possono includere i dati di codice, fase e doppler presenti nelle altre colonne. Le XYZ dei satelliti nelle colonne JKL consentono una verifica di coerenza con il calcolo nel foglio orbite_precise_e_broadcast, e fanno da base per il calcolo del tempo di volo in colonna O. LA tabulazione del satellite clock bias nella colonna M verrà usata nel seguito. La colonna O contiene il tempo di volo approssimato, in secondi, usando le coordinate a priori contenute nel foglio 'coord'. Se tali coordinate vengono aggiornate, anche il calcolo e il suo risultato vengono interati, e così fino a convergenza. Le colonne QRS contengono le coordinate dei satelliti spostate nel passato per un tempo uguale al tempo di volo. Confrontiamo con i valori in JKL per concludere che l'effetto dell'aberrazione è importante, essendo la velocità orbitale dei satelliti intorno ai 4 km/s. Il satellite clock bias in colonna T non cambia in modo apprezzabile se si tiene conto del tempo di volo. E' il vaolore in colonna O convertito in metri. In colonna U calcoliamo il range geometrico, mentre colonna V contiene i sesidui pre-fit. Il valore a priori del clock bias del ricevitore è 0 (cella E2 nel foglio coord) ma può essere aggornato procedento con le iterazioni. Le colonne W9, X9 contengono media (nota: diversa da zero) e scarto quadratico medio di questi residui pre-fit. Con il successivo calcolo ai minimi quadrati cercheremo di ridurre questi valori. Le colonne suuccessive contengono le derivate parziali (matrice H), la sua trasposta, la HTH e la sua inversa, la matrice trasposta HT moltiplicata per i residui osservato-calcolato, e in fine (colonna X) il vettore Delta delle correzioni da sommare ai valori b2-e2 nel foglio 'coord'. Usando il 'copia/incolla speciale/valori' possiamo ripetere le iterazioni. Le colonne BA-BB contengono il calcolo dei post-fit, con annessa statistica (si noti il valore medio zero, e il rms minore che il corrispondente pre-fit). Le celle BD2-BG2 rappresentano il vettore aggiornato, e pertanto possono sostituire le coordinate a priori nel foglio 'coord' per una successiva iterazione. Le successive colonne fino a BQ incluso contengono le coordinate in versione geodetica. LE colonne successive prevedono il calcolo della matrice di trasformazione da coordinate cartesiane a coordinate locali (lat lon quota sullo sferoide), e della sua inversa. Quest'ultima matrice viene usata per trasformare la matrice di covarianza (HTH)^-1 da coordinate cartesiana a coordinate locali (CR2-CU5) e così il vettore delle incognite (chiaramente il bias del ricevitore non viene modificato): CB2-CB4. Le diluizioni di precisione (DOP) verticali e orizzontali sono nelle celle CW-CY, con il fattore di scala sigma0 preso uquale al rms dei postfit. I protection levels (PL) vegono calcolati nelle celle DB e DD, con i fattori di scala KVPL e HVPL costanti secondo le indicazioni ESA per Galileo. Il foglio xls2kml contiene le coordinate ottenute dal calcolo e alcune keyword aggiuntve, per poter impiegare il client http://www.earthpoint.us/ExcelToKml.aspx per la conversione xls --&gt; kml, e successiva rappresntazione della traiettoria in Google Earth. Si noterà subito che la traiettoria viene spostata di circa 5 m verso nord, probabilmente a causa di una inconsistenza del Datum di Google Earth rispetto a quello usato dal nostro calcolo. Pertanto viene generato un foglio aggiuntivo xls2kml_latitudebias, dove le latitudine vengono diminuite e pertanto la traiettoria risulta meglio sovrapposta alla immagine. Si noti che l'uso del client http://www.earthpoint.us/ExcelToKml.aspx produrrà degli errori quando tenta di convertire fogli che non sono formattati correttamente (SP3, sv02 ecc). Bisogna intervenire manualmente oppure generare fogli separati che contengono la sola informazione formattata correttamente.</t>
  </si>
  <si>
    <t>L1=</t>
  </si>
  <si>
    <t>L2=</t>
  </si>
  <si>
    <t>Coefficenti della combinazione lineare iono-free: a*PR(L1)-b*PR(L2):</t>
  </si>
  <si>
    <t>a</t>
  </si>
  <si>
    <t>b</t>
  </si>
  <si>
    <t>IONOFREE a*C1-b*P2</t>
  </si>
  <si>
    <t>lambda1=</t>
  </si>
  <si>
    <t>lambda2=</t>
  </si>
  <si>
    <t>metri</t>
  </si>
  <si>
    <t>MHz</t>
  </si>
  <si>
    <t>(r x SLANT)x</t>
  </si>
  <si>
    <t>(r x SLANT)y</t>
  </si>
  <si>
    <t>(r x SLANT)z</t>
  </si>
  <si>
    <t>(r x SLANT)nord</t>
  </si>
  <si>
    <t>(r x SLANT)est</t>
  </si>
  <si>
    <t>(r x SLANT)up</t>
  </si>
  <si>
    <t>Az (deg)</t>
  </si>
  <si>
    <t>elev (gradi)</t>
  </si>
  <si>
    <t>El (gradi)</t>
  </si>
  <si>
    <t>Az (gradi)</t>
  </si>
  <si>
    <t>hm=</t>
  </si>
  <si>
    <t>km</t>
  </si>
  <si>
    <t>altezza media layer ionosferico</t>
  </si>
  <si>
    <t>El'(gradi)</t>
  </si>
  <si>
    <t>gamma (gradi)</t>
  </si>
  <si>
    <t>lat(sta)</t>
  </si>
  <si>
    <t>lon(sta)</t>
  </si>
  <si>
    <t>lat(sip)</t>
  </si>
  <si>
    <t>sen(lon(sip)-lon)</t>
  </si>
  <si>
    <t>cos(lon(sip)-lon)</t>
  </si>
  <si>
    <t>lon(sip)</t>
  </si>
  <si>
    <t>TEC(C1)/TECU</t>
  </si>
  <si>
    <t>TEC(P2) (controllo)</t>
  </si>
</sst>
</file>

<file path=xl/styles.xml><?xml version="1.0" encoding="utf-8"?>
<styleSheet xmlns="http://schemas.openxmlformats.org/spreadsheetml/2006/main">
  <numFmts count="4">
    <numFmt numFmtId="164" formatCode="0.0"/>
    <numFmt numFmtId="165" formatCode="0.0000"/>
    <numFmt numFmtId="166" formatCode="0.000"/>
    <numFmt numFmtId="167" formatCode="0.000000"/>
  </numFmts>
  <fonts count="3">
    <font>
      <sz val="11"/>
      <color theme="1"/>
      <name val="Calibri"/>
      <family val="2"/>
      <scheme val="minor"/>
    </font>
    <font>
      <sz val="9"/>
      <color indexed="81"/>
      <name val="Tahoma"/>
      <family val="2"/>
    </font>
    <font>
      <b/>
      <sz val="9"/>
      <color indexed="81"/>
      <name val="Tahoma"/>
      <family val="2"/>
    </font>
  </fonts>
  <fills count="4">
    <fill>
      <patternFill patternType="none"/>
    </fill>
    <fill>
      <patternFill patternType="gray125"/>
    </fill>
    <fill>
      <patternFill patternType="solid">
        <fgColor theme="8" tint="0.5999633777886288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2" fontId="0" fillId="0" borderId="0" xfId="0" applyNumberFormat="1"/>
    <xf numFmtId="0" fontId="0" fillId="2" borderId="0" xfId="0" applyFill="1"/>
    <xf numFmtId="164" fontId="0" fillId="0" borderId="0" xfId="0" applyNumberFormat="1"/>
    <xf numFmtId="165" fontId="0" fillId="0" borderId="0" xfId="0" applyNumberFormat="1"/>
    <xf numFmtId="166" fontId="0" fillId="0" borderId="0" xfId="0" applyNumberFormat="1"/>
    <xf numFmtId="1" fontId="0" fillId="0" borderId="0" xfId="0" applyNumberFormat="1"/>
    <xf numFmtId="0" fontId="0" fillId="3" borderId="0" xfId="0" applyFill="1"/>
    <xf numFmtId="167" fontId="0" fillId="0" borderId="0" xfId="0" applyNumberFormat="1"/>
    <xf numFmtId="0" fontId="0" fillId="0" borderId="0" xfId="0" applyAlignment="1">
      <alignment horizontal="left" vertical="top" wrapText="1"/>
    </xf>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06/relationships/vbaProject" Target="vbaProject.bin"/><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it-IT"/>
  <c:style val="1"/>
  <c:chart>
    <c:plotArea>
      <c:layout/>
      <c:scatterChart>
        <c:scatterStyle val="smoothMarker"/>
        <c:ser>
          <c:idx val="0"/>
          <c:order val="0"/>
          <c:xVal>
            <c:numRef>
              <c:f>tetto!$CE$2:$CE$194</c:f>
              <c:numCache>
                <c:formatCode>0.00</c:formatCode>
                <c:ptCount val="193"/>
                <c:pt idx="0">
                  <c:v>-21.64403552451963</c:v>
                </c:pt>
                <c:pt idx="8">
                  <c:v>-21.65567599731251</c:v>
                </c:pt>
                <c:pt idx="16">
                  <c:v>-21.653087405407163</c:v>
                </c:pt>
                <c:pt idx="24">
                  <c:v>-21.678992687585588</c:v>
                </c:pt>
                <c:pt idx="32">
                  <c:v>-21.854616669633433</c:v>
                </c:pt>
                <c:pt idx="40">
                  <c:v>-21.818542320628975</c:v>
                </c:pt>
                <c:pt idx="48">
                  <c:v>-21.79411353617559</c:v>
                </c:pt>
                <c:pt idx="56">
                  <c:v>-21.577260126294789</c:v>
                </c:pt>
                <c:pt idx="64">
                  <c:v>-21.639985649039843</c:v>
                </c:pt>
                <c:pt idx="72">
                  <c:v>-21.782484024709191</c:v>
                </c:pt>
                <c:pt idx="80">
                  <c:v>-22.284932091638517</c:v>
                </c:pt>
                <c:pt idx="88">
                  <c:v>-22.488848029777493</c:v>
                </c:pt>
                <c:pt idx="96">
                  <c:v>-37.253764827434523</c:v>
                </c:pt>
                <c:pt idx="104">
                  <c:v>-55.295731366154499</c:v>
                </c:pt>
                <c:pt idx="112">
                  <c:v>-68.66574049611711</c:v>
                </c:pt>
                <c:pt idx="120">
                  <c:v>-88.281704065809762</c:v>
                </c:pt>
                <c:pt idx="128">
                  <c:v>-102.97647492718704</c:v>
                </c:pt>
                <c:pt idx="136">
                  <c:v>-114.28621380498045</c:v>
                </c:pt>
                <c:pt idx="144">
                  <c:v>-105.502300996713</c:v>
                </c:pt>
                <c:pt idx="152">
                  <c:v>-87.738527761474316</c:v>
                </c:pt>
                <c:pt idx="160">
                  <c:v>-69.697931515013607</c:v>
                </c:pt>
                <c:pt idx="168">
                  <c:v>-49.313645815526861</c:v>
                </c:pt>
                <c:pt idx="176">
                  <c:v>-28.563290492893394</c:v>
                </c:pt>
                <c:pt idx="184">
                  <c:v>-19.773854947036174</c:v>
                </c:pt>
                <c:pt idx="192">
                  <c:v>-22.688844315082036</c:v>
                </c:pt>
              </c:numCache>
            </c:numRef>
          </c:xVal>
          <c:yVal>
            <c:numRef>
              <c:f>tetto!$CD$2:$CD$194</c:f>
              <c:numCache>
                <c:formatCode>0.00</c:formatCode>
                <c:ptCount val="193"/>
                <c:pt idx="0">
                  <c:v>7.5764384483442377</c:v>
                </c:pt>
                <c:pt idx="8">
                  <c:v>7.5963334884364784</c:v>
                </c:pt>
                <c:pt idx="16">
                  <c:v>7.7495447820717658</c:v>
                </c:pt>
                <c:pt idx="24">
                  <c:v>8.1321476918737048</c:v>
                </c:pt>
                <c:pt idx="32">
                  <c:v>8.5151097191676293</c:v>
                </c:pt>
                <c:pt idx="40">
                  <c:v>8.6712687167095446</c:v>
                </c:pt>
                <c:pt idx="48">
                  <c:v>8.6057552921716969</c:v>
                </c:pt>
                <c:pt idx="56">
                  <c:v>8.2560205401135036</c:v>
                </c:pt>
                <c:pt idx="64">
                  <c:v>7.8494659358146013</c:v>
                </c:pt>
                <c:pt idx="72">
                  <c:v>7.5842610034836664</c:v>
                </c:pt>
                <c:pt idx="80">
                  <c:v>8.2801413118054548</c:v>
                </c:pt>
                <c:pt idx="88">
                  <c:v>8.4868428519182331</c:v>
                </c:pt>
                <c:pt idx="96">
                  <c:v>18.531368832003714</c:v>
                </c:pt>
                <c:pt idx="104">
                  <c:v>20.755232791675834</c:v>
                </c:pt>
                <c:pt idx="112">
                  <c:v>34.787320193004518</c:v>
                </c:pt>
                <c:pt idx="120">
                  <c:v>45.291774234445327</c:v>
                </c:pt>
                <c:pt idx="128">
                  <c:v>52.910714341461258</c:v>
                </c:pt>
                <c:pt idx="136">
                  <c:v>57.012923502874628</c:v>
                </c:pt>
                <c:pt idx="144">
                  <c:v>47.454607837091878</c:v>
                </c:pt>
                <c:pt idx="152">
                  <c:v>38.062814031186605</c:v>
                </c:pt>
                <c:pt idx="160">
                  <c:v>28.610666785948897</c:v>
                </c:pt>
                <c:pt idx="168">
                  <c:v>17.94891926522704</c:v>
                </c:pt>
                <c:pt idx="176">
                  <c:v>6.9920607999942952</c:v>
                </c:pt>
                <c:pt idx="184">
                  <c:v>4.9051304654670647</c:v>
                </c:pt>
                <c:pt idx="192">
                  <c:v>7.7435799455462071</c:v>
                </c:pt>
              </c:numCache>
            </c:numRef>
          </c:yVal>
          <c:smooth val="1"/>
        </c:ser>
        <c:axId val="124088320"/>
        <c:axId val="124089856"/>
      </c:scatterChart>
      <c:valAx>
        <c:axId val="124088320"/>
        <c:scaling>
          <c:orientation val="minMax"/>
        </c:scaling>
        <c:axPos val="b"/>
        <c:numFmt formatCode="0.00" sourceLinked="1"/>
        <c:tickLblPos val="nextTo"/>
        <c:crossAx val="124089856"/>
        <c:crosses val="autoZero"/>
        <c:crossBetween val="midCat"/>
      </c:valAx>
      <c:valAx>
        <c:axId val="124089856"/>
        <c:scaling>
          <c:orientation val="minMax"/>
        </c:scaling>
        <c:axPos val="l"/>
        <c:majorGridlines/>
        <c:numFmt formatCode="0.00" sourceLinked="1"/>
        <c:tickLblPos val="nextTo"/>
        <c:crossAx val="124088320"/>
        <c:crosses val="autoZero"/>
        <c:crossBetween val="midCat"/>
      </c:valAx>
    </c:plotArea>
    <c:legend>
      <c:legendPos val="r"/>
    </c:legend>
    <c:plotVisOnly val="1"/>
  </c:chart>
  <c:printSettings>
    <c:headerFooter/>
    <c:pageMargins b="0.75000000000000122" l="0.70000000000000062" r="0.70000000000000062" t="0.7500000000000012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it-IT"/>
  <c:style val="1"/>
  <c:chart>
    <c:plotArea>
      <c:layout/>
      <c:scatterChart>
        <c:scatterStyle val="smoothMarker"/>
        <c:ser>
          <c:idx val="0"/>
          <c:order val="0"/>
          <c:xVal>
            <c:numRef>
              <c:f>tetto!$CE$2:$CE$194</c:f>
              <c:numCache>
                <c:formatCode>0.00</c:formatCode>
                <c:ptCount val="193"/>
                <c:pt idx="0">
                  <c:v>-21.64403552451963</c:v>
                </c:pt>
                <c:pt idx="8">
                  <c:v>-21.65567599731251</c:v>
                </c:pt>
                <c:pt idx="16">
                  <c:v>-21.653087405407163</c:v>
                </c:pt>
                <c:pt idx="24">
                  <c:v>-21.678992687585588</c:v>
                </c:pt>
                <c:pt idx="32">
                  <c:v>-21.854616669633433</c:v>
                </c:pt>
                <c:pt idx="40">
                  <c:v>-21.818542320628975</c:v>
                </c:pt>
                <c:pt idx="48">
                  <c:v>-21.79411353617559</c:v>
                </c:pt>
                <c:pt idx="56">
                  <c:v>-21.577260126294789</c:v>
                </c:pt>
                <c:pt idx="64">
                  <c:v>-21.639985649039843</c:v>
                </c:pt>
                <c:pt idx="72">
                  <c:v>-21.782484024709191</c:v>
                </c:pt>
                <c:pt idx="80">
                  <c:v>-22.284932091638517</c:v>
                </c:pt>
                <c:pt idx="88">
                  <c:v>-22.488848029777493</c:v>
                </c:pt>
                <c:pt idx="96">
                  <c:v>-37.253764827434523</c:v>
                </c:pt>
                <c:pt idx="104">
                  <c:v>-55.295731366154499</c:v>
                </c:pt>
                <c:pt idx="112">
                  <c:v>-68.66574049611711</c:v>
                </c:pt>
                <c:pt idx="120">
                  <c:v>-88.281704065809762</c:v>
                </c:pt>
                <c:pt idx="128">
                  <c:v>-102.97647492718704</c:v>
                </c:pt>
                <c:pt idx="136">
                  <c:v>-114.28621380498045</c:v>
                </c:pt>
                <c:pt idx="144">
                  <c:v>-105.502300996713</c:v>
                </c:pt>
                <c:pt idx="152">
                  <c:v>-87.738527761474316</c:v>
                </c:pt>
                <c:pt idx="160">
                  <c:v>-69.697931515013607</c:v>
                </c:pt>
                <c:pt idx="168">
                  <c:v>-49.313645815526861</c:v>
                </c:pt>
                <c:pt idx="176">
                  <c:v>-28.563290492893394</c:v>
                </c:pt>
                <c:pt idx="184">
                  <c:v>-19.773854947036174</c:v>
                </c:pt>
                <c:pt idx="192">
                  <c:v>-22.688844315082036</c:v>
                </c:pt>
              </c:numCache>
            </c:numRef>
          </c:xVal>
          <c:yVal>
            <c:numRef>
              <c:f>tetto!$CD$2:$CD$194</c:f>
              <c:numCache>
                <c:formatCode>0.00</c:formatCode>
                <c:ptCount val="193"/>
                <c:pt idx="0">
                  <c:v>7.5764384483442377</c:v>
                </c:pt>
                <c:pt idx="8">
                  <c:v>7.5963334884364784</c:v>
                </c:pt>
                <c:pt idx="16">
                  <c:v>7.7495447820717658</c:v>
                </c:pt>
                <c:pt idx="24">
                  <c:v>8.1321476918737048</c:v>
                </c:pt>
                <c:pt idx="32">
                  <c:v>8.5151097191676293</c:v>
                </c:pt>
                <c:pt idx="40">
                  <c:v>8.6712687167095446</c:v>
                </c:pt>
                <c:pt idx="48">
                  <c:v>8.6057552921716969</c:v>
                </c:pt>
                <c:pt idx="56">
                  <c:v>8.2560205401135036</c:v>
                </c:pt>
                <c:pt idx="64">
                  <c:v>7.8494659358146013</c:v>
                </c:pt>
                <c:pt idx="72">
                  <c:v>7.5842610034836664</c:v>
                </c:pt>
                <c:pt idx="80">
                  <c:v>8.2801413118054548</c:v>
                </c:pt>
                <c:pt idx="88">
                  <c:v>8.4868428519182331</c:v>
                </c:pt>
                <c:pt idx="96">
                  <c:v>18.531368832003714</c:v>
                </c:pt>
                <c:pt idx="104">
                  <c:v>20.755232791675834</c:v>
                </c:pt>
                <c:pt idx="112">
                  <c:v>34.787320193004518</c:v>
                </c:pt>
                <c:pt idx="120">
                  <c:v>45.291774234445327</c:v>
                </c:pt>
                <c:pt idx="128">
                  <c:v>52.910714341461258</c:v>
                </c:pt>
                <c:pt idx="136">
                  <c:v>57.012923502874628</c:v>
                </c:pt>
                <c:pt idx="144">
                  <c:v>47.454607837091878</c:v>
                </c:pt>
                <c:pt idx="152">
                  <c:v>38.062814031186605</c:v>
                </c:pt>
                <c:pt idx="160">
                  <c:v>28.610666785948897</c:v>
                </c:pt>
                <c:pt idx="168">
                  <c:v>17.94891926522704</c:v>
                </c:pt>
                <c:pt idx="176">
                  <c:v>6.9920607999942952</c:v>
                </c:pt>
                <c:pt idx="184">
                  <c:v>4.9051304654670647</c:v>
                </c:pt>
                <c:pt idx="192">
                  <c:v>7.7435799455462071</c:v>
                </c:pt>
              </c:numCache>
            </c:numRef>
          </c:yVal>
          <c:smooth val="1"/>
        </c:ser>
        <c:axId val="155540480"/>
        <c:axId val="147620608"/>
      </c:scatterChart>
      <c:valAx>
        <c:axId val="155540480"/>
        <c:scaling>
          <c:orientation val="minMax"/>
        </c:scaling>
        <c:axPos val="b"/>
        <c:numFmt formatCode="0.00" sourceLinked="1"/>
        <c:tickLblPos val="nextTo"/>
        <c:crossAx val="147620608"/>
        <c:crosses val="autoZero"/>
        <c:crossBetween val="midCat"/>
      </c:valAx>
      <c:valAx>
        <c:axId val="147620608"/>
        <c:scaling>
          <c:orientation val="minMax"/>
        </c:scaling>
        <c:axPos val="l"/>
        <c:majorGridlines/>
        <c:numFmt formatCode="0.00" sourceLinked="1"/>
        <c:tickLblPos val="nextTo"/>
        <c:crossAx val="155540480"/>
        <c:crosses val="autoZero"/>
        <c:crossBetween val="midCat"/>
      </c:valAx>
    </c:plotArea>
    <c:legend>
      <c:legendPos val="r"/>
    </c:legend>
    <c:plotVisOnly val="1"/>
  </c:chart>
  <c:printSettings>
    <c:headerFooter/>
    <c:pageMargins b="0.75000000000000144" l="0.70000000000000062" r="0.70000000000000062" t="0.75000000000000144"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73</xdr:col>
      <xdr:colOff>57150</xdr:colOff>
      <xdr:row>184</xdr:row>
      <xdr:rowOff>171450</xdr:rowOff>
    </xdr:from>
    <xdr:to>
      <xdr:col>80</xdr:col>
      <xdr:colOff>361950</xdr:colOff>
      <xdr:row>199</xdr:row>
      <xdr:rowOff>57150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76</xdr:col>
      <xdr:colOff>57150</xdr:colOff>
      <xdr:row>184</xdr:row>
      <xdr:rowOff>171450</xdr:rowOff>
    </xdr:from>
    <xdr:to>
      <xdr:col>83</xdr:col>
      <xdr:colOff>361950</xdr:colOff>
      <xdr:row>199</xdr:row>
      <xdr:rowOff>57150</xdr:rowOff>
    </xdr:to>
    <xdr:graphicFrame macro="">
      <xdr:nvGraphicFramePr>
        <xdr:cNvPr id="2" name="Gra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323849</xdr:colOff>
      <xdr:row>2</xdr:row>
      <xdr:rowOff>68461</xdr:rowOff>
    </xdr:from>
    <xdr:to>
      <xdr:col>22</xdr:col>
      <xdr:colOff>523874</xdr:colOff>
      <xdr:row>40</xdr:row>
      <xdr:rowOff>142875</xdr:rowOff>
    </xdr:to>
    <xdr:pic>
      <xdr:nvPicPr>
        <xdr:cNvPr id="3073"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33449" y="449461"/>
          <a:ext cx="13001625" cy="7313414"/>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19</xdr:col>
      <xdr:colOff>266700</xdr:colOff>
      <xdr:row>33</xdr:row>
      <xdr:rowOff>180975</xdr:rowOff>
    </xdr:to>
    <xdr:pic>
      <xdr:nvPicPr>
        <xdr:cNvPr id="5121"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1219200" y="190500"/>
          <a:ext cx="10629900" cy="627697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0</xdr:row>
      <xdr:rowOff>133350</xdr:rowOff>
    </xdr:from>
    <xdr:to>
      <xdr:col>18</xdr:col>
      <xdr:colOff>371475</xdr:colOff>
      <xdr:row>33</xdr:row>
      <xdr:rowOff>123825</xdr:rowOff>
    </xdr:to>
    <xdr:pic>
      <xdr:nvPicPr>
        <xdr:cNvPr id="614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14375" y="133350"/>
          <a:ext cx="10629900" cy="6276975"/>
        </a:xfrm>
        <a:prstGeom prst="rect">
          <a:avLst/>
        </a:prstGeom>
        <a:noFill/>
        <a:ln w="1">
          <a:noFill/>
          <a:miter lim="800000"/>
          <a:headEnd/>
          <a:tailEnd type="none" w="med" len="med"/>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bite_precise_e_broadcast.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leggimi"/>
      <sheetName val="SP3"/>
      <sheetName val="sv02"/>
      <sheetName val="sv04"/>
      <sheetName val="sv07"/>
      <sheetName val="sv08"/>
      <sheetName val="sv10"/>
      <sheetName val="sv13"/>
      <sheetName val="sv20"/>
      <sheetName val="sv23"/>
      <sheetName val="SV02BRDC 2 ore"/>
      <sheetName val="SV02BRDC 1 ora"/>
      <sheetName val="BRDC1410.10N"/>
    </sheetNames>
    <sheetDataSet>
      <sheetData sheetId="0"/>
      <sheetData sheetId="1">
        <row r="3">
          <cell r="A3" t="str">
            <v>PG02</v>
          </cell>
          <cell r="B3">
            <v>3175.2787640000001</v>
          </cell>
          <cell r="C3">
            <v>-15333.94405</v>
          </cell>
          <cell r="D3">
            <v>21430.969657000001</v>
          </cell>
          <cell r="E3">
            <v>257.58654100000001</v>
          </cell>
        </row>
        <row r="35">
          <cell r="A35" t="str">
            <v>PG02</v>
          </cell>
          <cell r="B35">
            <v>5575.7636080000002</v>
          </cell>
          <cell r="C35">
            <v>-14805.568696</v>
          </cell>
          <cell r="D35">
            <v>21270.940010999999</v>
          </cell>
          <cell r="E35">
            <v>257.589764</v>
          </cell>
        </row>
        <row r="67">
          <cell r="A67" t="str">
            <v>PG02</v>
          </cell>
          <cell r="B67">
            <v>7965.0282370000004</v>
          </cell>
          <cell r="C67">
            <v>-14399.162231</v>
          </cell>
          <cell r="D67">
            <v>20742.805354</v>
          </cell>
          <cell r="E67">
            <v>257.59270900000001</v>
          </cell>
        </row>
        <row r="99">
          <cell r="A99" t="str">
            <v>PG02</v>
          </cell>
          <cell r="B99">
            <v>10295.432434</v>
          </cell>
          <cell r="C99">
            <v>-14114.500091</v>
          </cell>
          <cell r="D99">
            <v>19854.397276</v>
          </cell>
          <cell r="E99">
            <v>257.595574</v>
          </cell>
        </row>
        <row r="131">
          <cell r="A131" t="str">
            <v>PG02</v>
          </cell>
          <cell r="B131">
            <v>12520.368138</v>
          </cell>
          <cell r="C131">
            <v>-13943.645893999999</v>
          </cell>
          <cell r="D131">
            <v>18619.939347</v>
          </cell>
          <cell r="E131">
            <v>257.59865100000002</v>
          </cell>
        </row>
        <row r="165">
          <cell r="B165">
            <v>14595.907209999999</v>
          </cell>
          <cell r="C165">
            <v>-13871.291803</v>
          </cell>
          <cell r="D165">
            <v>17059.878999</v>
          </cell>
          <cell r="E165">
            <v>257.60166299999997</v>
          </cell>
        </row>
        <row r="197">
          <cell r="B197">
            <v>16482.366990999999</v>
          </cell>
          <cell r="C197">
            <v>-13875.410486000001</v>
          </cell>
          <cell r="D197">
            <v>15200.594458</v>
          </cell>
          <cell r="E197">
            <v>257.60466600000001</v>
          </cell>
        </row>
        <row r="229">
          <cell r="B229">
            <v>18145.728575000001</v>
          </cell>
          <cell r="C229">
            <v>-13928.197238999999</v>
          </cell>
          <cell r="D229">
            <v>13073.977073</v>
          </cell>
          <cell r="E229">
            <v>257.607778</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sheetPr codeName="Foglio10"/>
  <dimension ref="A1:F26"/>
  <sheetViews>
    <sheetView topLeftCell="A4" workbookViewId="0">
      <selection activeCell="A15" sqref="A15"/>
    </sheetView>
  </sheetViews>
  <sheetFormatPr defaultRowHeight="15"/>
  <sheetData>
    <row r="1" spans="1:6">
      <c r="A1" t="s">
        <v>129</v>
      </c>
      <c r="B1" t="s">
        <v>130</v>
      </c>
      <c r="C1" t="s">
        <v>131</v>
      </c>
      <c r="D1" t="s">
        <v>132</v>
      </c>
      <c r="E1" t="s">
        <v>133</v>
      </c>
      <c r="F1" t="s">
        <v>134</v>
      </c>
    </row>
    <row r="2" spans="1:6">
      <c r="A2">
        <f>xls2kml!A2-0.00008</f>
        <v>45.411159445377663</v>
      </c>
      <c r="B2">
        <f>xls2kml!B2+0.0003</f>
        <v>11.896130042384364</v>
      </c>
      <c r="C2" t="s">
        <v>135</v>
      </c>
      <c r="D2">
        <v>196</v>
      </c>
      <c r="E2" t="s">
        <v>136</v>
      </c>
      <c r="F2" t="s">
        <v>137</v>
      </c>
    </row>
    <row r="3" spans="1:6">
      <c r="A3">
        <f>xls2kml!A3-0.00008</f>
        <v>45.411159624385391</v>
      </c>
      <c r="B3">
        <f>xls2kml!B3+0.0003</f>
        <v>11.896129893684433</v>
      </c>
      <c r="C3" t="s">
        <v>135</v>
      </c>
      <c r="D3">
        <v>196</v>
      </c>
      <c r="E3" t="s">
        <v>136</v>
      </c>
      <c r="F3" t="s">
        <v>137</v>
      </c>
    </row>
    <row r="4" spans="1:6">
      <c r="A4">
        <f>xls2kml!A4-0.00008</f>
        <v>45.411161002917382</v>
      </c>
      <c r="B4">
        <f>xls2kml!B4+0.0003</f>
        <v>11.896129926752113</v>
      </c>
      <c r="C4" t="s">
        <v>135</v>
      </c>
      <c r="D4">
        <v>196</v>
      </c>
      <c r="E4" t="s">
        <v>136</v>
      </c>
      <c r="F4" t="s">
        <v>137</v>
      </c>
    </row>
    <row r="5" spans="1:6">
      <c r="A5">
        <f>xls2kml!A5-0.00008</f>
        <v>45.411164445421498</v>
      </c>
      <c r="B5">
        <f>xls2kml!B5+0.0003</f>
        <v>11.89612959582796</v>
      </c>
      <c r="C5" t="s">
        <v>135</v>
      </c>
      <c r="D5">
        <v>196</v>
      </c>
      <c r="E5" t="s">
        <v>136</v>
      </c>
      <c r="F5" t="s">
        <v>137</v>
      </c>
    </row>
    <row r="6" spans="1:6">
      <c r="A6">
        <f>xls2kml!A6-0.00008</f>
        <v>45.411167891161455</v>
      </c>
      <c r="B6">
        <f>xls2kml!B6+0.0003</f>
        <v>11.896127352338866</v>
      </c>
      <c r="C6" t="s">
        <v>135</v>
      </c>
      <c r="D6">
        <v>196</v>
      </c>
      <c r="E6" t="s">
        <v>136</v>
      </c>
      <c r="F6" t="s">
        <v>137</v>
      </c>
    </row>
    <row r="7" spans="1:6">
      <c r="A7">
        <f>xls2kml!A7-0.00008</f>
        <v>45.411169296214631</v>
      </c>
      <c r="B7">
        <f>xls2kml!B7+0.0003</f>
        <v>11.89612781316664</v>
      </c>
      <c r="C7" t="s">
        <v>135</v>
      </c>
      <c r="D7">
        <v>196</v>
      </c>
      <c r="E7" t="s">
        <v>136</v>
      </c>
      <c r="F7" t="s">
        <v>137</v>
      </c>
    </row>
    <row r="8" spans="1:6">
      <c r="A8">
        <f>xls2kml!A8-0.00008</f>
        <v>45.41116870675107</v>
      </c>
      <c r="B8">
        <f>xls2kml!B8+0.0003</f>
        <v>11.896128125229438</v>
      </c>
      <c r="C8" t="s">
        <v>135</v>
      </c>
      <c r="D8">
        <v>196</v>
      </c>
      <c r="E8" t="s">
        <v>136</v>
      </c>
      <c r="F8" t="s">
        <v>137</v>
      </c>
    </row>
    <row r="9" spans="1:6">
      <c r="A9">
        <f>xls2kml!A9-0.00008</f>
        <v>45.411165559975188</v>
      </c>
      <c r="B9">
        <f>xls2kml!B9+0.0003</f>
        <v>11.896130895399288</v>
      </c>
      <c r="C9" t="s">
        <v>135</v>
      </c>
      <c r="D9">
        <v>196</v>
      </c>
      <c r="E9" t="s">
        <v>136</v>
      </c>
      <c r="F9" t="s">
        <v>137</v>
      </c>
    </row>
    <row r="10" spans="1:6">
      <c r="A10">
        <f>xls2kml!A10-0.00008</f>
        <v>45.411161901966352</v>
      </c>
      <c r="B10">
        <f>xls2kml!B10+0.0003</f>
        <v>11.89613009411905</v>
      </c>
      <c r="C10" t="s">
        <v>135</v>
      </c>
      <c r="D10">
        <v>196</v>
      </c>
      <c r="E10" t="s">
        <v>136</v>
      </c>
      <c r="F10" t="s">
        <v>137</v>
      </c>
    </row>
    <row r="11" spans="1:6">
      <c r="A11">
        <f>xls2kml!A11-0.00008</f>
        <v>45.411159515766087</v>
      </c>
      <c r="B11">
        <f>xls2kml!B11+0.0003</f>
        <v>11.896128273789346</v>
      </c>
      <c r="C11" t="s">
        <v>135</v>
      </c>
      <c r="D11">
        <v>196</v>
      </c>
      <c r="E11" t="s">
        <v>136</v>
      </c>
      <c r="F11" t="s">
        <v>137</v>
      </c>
    </row>
    <row r="12" spans="1:6">
      <c r="A12">
        <f>xls2kml!A12-0.00008</f>
        <v>45.411165777026127</v>
      </c>
      <c r="B12">
        <f>xls2kml!B12+0.0003</f>
        <v>11.8961218553222</v>
      </c>
      <c r="C12" t="s">
        <v>135</v>
      </c>
      <c r="D12">
        <v>196</v>
      </c>
      <c r="E12" t="s">
        <v>136</v>
      </c>
      <c r="F12" t="s">
        <v>137</v>
      </c>
    </row>
    <row r="13" spans="1:6">
      <c r="A13">
        <f>xls2kml!A13-0.00008</f>
        <v>45.411167636847921</v>
      </c>
      <c r="B13">
        <f>xls2kml!B13+0.0003</f>
        <v>11.896119250420647</v>
      </c>
      <c r="C13" t="s">
        <v>135</v>
      </c>
      <c r="D13">
        <v>196</v>
      </c>
      <c r="E13" t="s">
        <v>136</v>
      </c>
      <c r="F13" t="s">
        <v>137</v>
      </c>
    </row>
    <row r="14" spans="1:6">
      <c r="A14">
        <f>xls2kml!A14-0.00008</f>
        <v>45.411258013982383</v>
      </c>
      <c r="B14">
        <f>xls2kml!B14+0.0003</f>
        <v>11.895930637627377</v>
      </c>
      <c r="C14" t="s">
        <v>135</v>
      </c>
      <c r="D14">
        <v>196</v>
      </c>
      <c r="E14" t="s">
        <v>136</v>
      </c>
      <c r="F14" t="s">
        <v>137</v>
      </c>
    </row>
    <row r="15" spans="1:6">
      <c r="A15">
        <f>xls2kml!A15-0.00008</f>
        <v>45.411278024586174</v>
      </c>
      <c r="B15">
        <f>xls2kml!B15+0.0003</f>
        <v>11.895700162525372</v>
      </c>
      <c r="C15" t="s">
        <v>135</v>
      </c>
      <c r="D15">
        <v>196</v>
      </c>
      <c r="E15" t="s">
        <v>136</v>
      </c>
      <c r="F15" t="s">
        <v>137</v>
      </c>
    </row>
    <row r="16" spans="1:6">
      <c r="A16">
        <f>xls2kml!A16-0.00008</f>
        <v>45.411404280705554</v>
      </c>
      <c r="B16">
        <f>xls2kml!B16+0.0003</f>
        <v>11.895529368825496</v>
      </c>
      <c r="C16" t="s">
        <v>135</v>
      </c>
      <c r="D16">
        <v>196</v>
      </c>
      <c r="E16" t="s">
        <v>136</v>
      </c>
      <c r="F16" t="s">
        <v>137</v>
      </c>
    </row>
    <row r="17" spans="1:6">
      <c r="A17">
        <f>xls2kml!A17-0.00008</f>
        <v>45.411498797648242</v>
      </c>
      <c r="B17">
        <f>xls2kml!B17+0.0003</f>
        <v>11.895278786872836</v>
      </c>
      <c r="C17" t="s">
        <v>135</v>
      </c>
      <c r="D17">
        <v>196</v>
      </c>
      <c r="E17" t="s">
        <v>136</v>
      </c>
      <c r="F17" t="s">
        <v>137</v>
      </c>
    </row>
    <row r="18" spans="1:6">
      <c r="A18">
        <f>xls2kml!A18-0.00008</f>
        <v>45.411567351734526</v>
      </c>
      <c r="B18">
        <f>xls2kml!B18+0.0003</f>
        <v>11.89509107015102</v>
      </c>
      <c r="C18" t="s">
        <v>135</v>
      </c>
      <c r="D18">
        <v>196</v>
      </c>
      <c r="E18" t="s">
        <v>136</v>
      </c>
      <c r="F18" t="s">
        <v>137</v>
      </c>
    </row>
    <row r="19" spans="1:6">
      <c r="A19">
        <f>xls2kml!A19-0.00008</f>
        <v>45.41160426347443</v>
      </c>
      <c r="B19">
        <f>xls2kml!B19+0.0003</f>
        <v>11.89494659514512</v>
      </c>
      <c r="C19" t="s">
        <v>135</v>
      </c>
      <c r="D19">
        <v>196</v>
      </c>
      <c r="E19" t="s">
        <v>136</v>
      </c>
      <c r="F19" t="s">
        <v>137</v>
      </c>
    </row>
    <row r="20" spans="1:6">
      <c r="A20">
        <f>xls2kml!A20-0.00008</f>
        <v>45.411518260316221</v>
      </c>
      <c r="B20">
        <f>xls2kml!B20+0.0003</f>
        <v>11.895058804265817</v>
      </c>
      <c r="C20" t="s">
        <v>135</v>
      </c>
      <c r="D20">
        <v>196</v>
      </c>
      <c r="E20" t="s">
        <v>136</v>
      </c>
      <c r="F20" t="s">
        <v>137</v>
      </c>
    </row>
    <row r="21" spans="1:6">
      <c r="A21">
        <f>xls2kml!A21-0.00008</f>
        <v>45.411433754378741</v>
      </c>
      <c r="B21">
        <f>xls2kml!B21+0.0003</f>
        <v>11.89528572561834</v>
      </c>
      <c r="C21" t="s">
        <v>135</v>
      </c>
      <c r="D21">
        <v>196</v>
      </c>
      <c r="E21" t="s">
        <v>136</v>
      </c>
      <c r="F21" t="s">
        <v>137</v>
      </c>
    </row>
    <row r="22" spans="1:6">
      <c r="A22">
        <f>xls2kml!A22-0.00008</f>
        <v>45.411348705827869</v>
      </c>
      <c r="B22">
        <f>xls2kml!B22+0.0003</f>
        <v>11.895516183215722</v>
      </c>
      <c r="C22" t="s">
        <v>135</v>
      </c>
      <c r="D22">
        <v>196</v>
      </c>
      <c r="E22" t="s">
        <v>136</v>
      </c>
      <c r="F22" t="s">
        <v>137</v>
      </c>
    </row>
    <row r="23" spans="1:6">
      <c r="A23">
        <f>xls2kml!A23-0.00008</f>
        <v>45.411252774087046</v>
      </c>
      <c r="B23">
        <f>xls2kml!B23+0.0003</f>
        <v>11.89577658001426</v>
      </c>
      <c r="C23" t="s">
        <v>135</v>
      </c>
      <c r="D23">
        <v>196</v>
      </c>
      <c r="E23" t="s">
        <v>136</v>
      </c>
      <c r="F23" t="s">
        <v>137</v>
      </c>
    </row>
    <row r="24" spans="1:6">
      <c r="A24">
        <f>xls2kml!A24-0.00008</f>
        <v>45.411154187636562</v>
      </c>
      <c r="B24">
        <f>xls2kml!B24+0.0003</f>
        <v>11.896041653128616</v>
      </c>
      <c r="C24" t="s">
        <v>135</v>
      </c>
      <c r="D24">
        <v>196</v>
      </c>
      <c r="E24" t="s">
        <v>136</v>
      </c>
      <c r="F24" t="s">
        <v>137</v>
      </c>
    </row>
    <row r="25" spans="1:6">
      <c r="A25">
        <f>xls2kml!A25-0.00008</f>
        <v>45.411135409993946</v>
      </c>
      <c r="B25">
        <f>xls2kml!B25+0.0003</f>
        <v>11.896153932798882</v>
      </c>
      <c r="C25" t="s">
        <v>135</v>
      </c>
      <c r="D25">
        <v>196</v>
      </c>
      <c r="E25" t="s">
        <v>136</v>
      </c>
      <c r="F25" t="s">
        <v>137</v>
      </c>
    </row>
    <row r="26" spans="1:6">
      <c r="A26">
        <f>xls2kml!A26-0.00008</f>
        <v>45.411160949281054</v>
      </c>
      <c r="B26">
        <f>xls2kml!B26+0.0003</f>
        <v>11.896116695590262</v>
      </c>
      <c r="C26" t="s">
        <v>135</v>
      </c>
      <c r="D26">
        <v>196</v>
      </c>
      <c r="E26" t="s">
        <v>136</v>
      </c>
      <c r="F26" t="s">
        <v>137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Foglio15"/>
  <dimension ref="A1:F26"/>
  <sheetViews>
    <sheetView topLeftCell="A6" workbookViewId="0">
      <selection sqref="A1:F26"/>
    </sheetView>
  </sheetViews>
  <sheetFormatPr defaultRowHeight="15"/>
  <cols>
    <col min="1" max="2" width="9.5703125" bestFit="1" customWidth="1"/>
  </cols>
  <sheetData>
    <row r="1" spans="1:6">
      <c r="A1" t="s">
        <v>129</v>
      </c>
      <c r="B1" t="s">
        <v>130</v>
      </c>
      <c r="C1" t="s">
        <v>131</v>
      </c>
      <c r="D1" t="s">
        <v>132</v>
      </c>
      <c r="E1" t="s">
        <v>133</v>
      </c>
      <c r="F1" t="s">
        <v>134</v>
      </c>
    </row>
    <row r="2" spans="1:6">
      <c r="A2" s="8">
        <f>tetto_ionofree_PR!BK2</f>
        <v>45.411202046617099</v>
      </c>
      <c r="B2" s="8">
        <f>tetto_ionofree_PR!BL2</f>
        <v>11.895812259100985</v>
      </c>
      <c r="C2" t="s">
        <v>135</v>
      </c>
      <c r="D2">
        <v>196</v>
      </c>
      <c r="E2" t="s">
        <v>136</v>
      </c>
      <c r="F2" t="s">
        <v>137</v>
      </c>
    </row>
    <row r="3" spans="1:6">
      <c r="A3" s="8">
        <f>tetto_ionofree_PR!BK10</f>
        <v>45.411204779482823</v>
      </c>
      <c r="B3" s="8">
        <f>tetto_ionofree_PR!BL10</f>
        <v>11.895809956575738</v>
      </c>
      <c r="C3" t="s">
        <v>135</v>
      </c>
      <c r="D3">
        <v>196</v>
      </c>
      <c r="E3" t="s">
        <v>136</v>
      </c>
      <c r="F3" t="s">
        <v>137</v>
      </c>
    </row>
    <row r="4" spans="1:6">
      <c r="A4" s="8">
        <f>tetto_ionofree_PR!BK18</f>
        <v>45.41120695021138</v>
      </c>
      <c r="B4" s="8">
        <f>tetto_ionofree_PR!BL18</f>
        <v>11.895808634962814</v>
      </c>
      <c r="C4" t="s">
        <v>135</v>
      </c>
      <c r="D4">
        <v>196</v>
      </c>
      <c r="E4" t="s">
        <v>136</v>
      </c>
      <c r="F4" t="s">
        <v>137</v>
      </c>
    </row>
    <row r="5" spans="1:6">
      <c r="A5" s="8">
        <f>tetto_ionofree_PR!BK26</f>
        <v>45.411216513724113</v>
      </c>
      <c r="B5" s="8">
        <f>tetto_ionofree_PR!BL26</f>
        <v>11.895808429545365</v>
      </c>
      <c r="C5" t="s">
        <v>135</v>
      </c>
      <c r="D5">
        <v>196</v>
      </c>
      <c r="E5" t="s">
        <v>136</v>
      </c>
      <c r="F5" t="s">
        <v>137</v>
      </c>
    </row>
    <row r="6" spans="1:6">
      <c r="A6" s="8">
        <f>tetto_ionofree_PR!BK34</f>
        <v>45.411232532881733</v>
      </c>
      <c r="B6" s="8">
        <f>tetto_ionofree_PR!BL34</f>
        <v>11.89581079058042</v>
      </c>
      <c r="C6" t="s">
        <v>135</v>
      </c>
      <c r="D6">
        <v>196</v>
      </c>
      <c r="E6" t="s">
        <v>136</v>
      </c>
      <c r="F6" t="s">
        <v>137</v>
      </c>
    </row>
    <row r="7" spans="1:6">
      <c r="A7" s="8">
        <f>tetto_ionofree_PR!BK42</f>
        <v>45.411232005420779</v>
      </c>
      <c r="B7" s="8">
        <f>tetto_ionofree_PR!BL42</f>
        <v>11.895809764971396</v>
      </c>
      <c r="C7" t="s">
        <v>135</v>
      </c>
      <c r="D7">
        <v>196</v>
      </c>
      <c r="E7" t="s">
        <v>136</v>
      </c>
      <c r="F7" t="s">
        <v>137</v>
      </c>
    </row>
    <row r="8" spans="1:6">
      <c r="A8" s="8">
        <f>tetto_ionofree_PR!BK50</f>
        <v>45.411230658338091</v>
      </c>
      <c r="B8" s="8">
        <f>tetto_ionofree_PR!BL50</f>
        <v>11.89581253617289</v>
      </c>
      <c r="C8" t="s">
        <v>135</v>
      </c>
      <c r="D8">
        <v>196</v>
      </c>
      <c r="E8" t="s">
        <v>136</v>
      </c>
      <c r="F8" t="s">
        <v>137</v>
      </c>
    </row>
    <row r="9" spans="1:6">
      <c r="A9" s="8">
        <f>tetto_ionofree_PR!BK58</f>
        <v>45.411223120348396</v>
      </c>
      <c r="B9" s="8">
        <f>tetto_ionofree_PR!BL58</f>
        <v>11.895817960221283</v>
      </c>
      <c r="C9" t="s">
        <v>135</v>
      </c>
      <c r="D9">
        <v>196</v>
      </c>
      <c r="E9" t="s">
        <v>136</v>
      </c>
      <c r="F9" t="s">
        <v>137</v>
      </c>
    </row>
    <row r="10" spans="1:6">
      <c r="A10" s="8">
        <f>tetto_ionofree_PR!BK66</f>
        <v>45.411210293012466</v>
      </c>
      <c r="B10" s="8">
        <f>tetto_ionofree_PR!BL66</f>
        <v>11.895815628730048</v>
      </c>
      <c r="C10" t="s">
        <v>135</v>
      </c>
      <c r="D10">
        <v>196</v>
      </c>
      <c r="E10" t="s">
        <v>136</v>
      </c>
      <c r="F10" t="s">
        <v>137</v>
      </c>
    </row>
    <row r="11" spans="1:6">
      <c r="A11" s="8">
        <f>tetto_ionofree_PR!BK74</f>
        <v>45.411205280177519</v>
      </c>
      <c r="B11" s="8">
        <f>tetto_ionofree_PR!BL74</f>
        <v>11.895813365952284</v>
      </c>
      <c r="C11" t="s">
        <v>135</v>
      </c>
      <c r="D11">
        <v>196</v>
      </c>
      <c r="E11" t="s">
        <v>136</v>
      </c>
      <c r="F11" t="s">
        <v>137</v>
      </c>
    </row>
    <row r="12" spans="1:6">
      <c r="A12" s="8">
        <f>tetto_ionofree_PR!BK82</f>
        <v>45.411225751292413</v>
      </c>
      <c r="B12" s="8">
        <f>tetto_ionofree_PR!BL82</f>
        <v>11.895792813268649</v>
      </c>
      <c r="C12" t="s">
        <v>135</v>
      </c>
      <c r="D12">
        <v>196</v>
      </c>
      <c r="E12" t="s">
        <v>136</v>
      </c>
      <c r="F12" t="s">
        <v>137</v>
      </c>
    </row>
    <row r="13" spans="1:6">
      <c r="A13" s="8">
        <f>tetto_ionofree_PR!BK90</f>
        <v>45.411227812634934</v>
      </c>
      <c r="B13" s="8">
        <f>tetto_ionofree_PR!BL90</f>
        <v>11.895791728767433</v>
      </c>
      <c r="C13" t="s">
        <v>135</v>
      </c>
      <c r="D13">
        <v>196</v>
      </c>
      <c r="E13" t="s">
        <v>136</v>
      </c>
      <c r="F13" t="s">
        <v>137</v>
      </c>
    </row>
    <row r="14" spans="1:6">
      <c r="A14" s="8">
        <f>tetto_ionofree_PR!BK98</f>
        <v>45.411312318166161</v>
      </c>
      <c r="B14" s="8">
        <f>tetto_ionofree_PR!BL98</f>
        <v>11.895606998454321</v>
      </c>
      <c r="C14" t="s">
        <v>135</v>
      </c>
      <c r="D14">
        <v>196</v>
      </c>
      <c r="E14" t="s">
        <v>136</v>
      </c>
      <c r="F14" t="s">
        <v>137</v>
      </c>
    </row>
    <row r="15" spans="1:6">
      <c r="A15" s="8">
        <f>tetto_ionofree_PR!BK106</f>
        <v>45.411332559105333</v>
      </c>
      <c r="B15" s="8">
        <f>tetto_ionofree_PR!BL106</f>
        <v>11.895376508568173</v>
      </c>
      <c r="C15" t="s">
        <v>135</v>
      </c>
      <c r="D15">
        <v>196</v>
      </c>
      <c r="E15" t="s">
        <v>136</v>
      </c>
      <c r="F15" t="s">
        <v>137</v>
      </c>
    </row>
    <row r="16" spans="1:6">
      <c r="A16" s="8">
        <f>tetto_ionofree_PR!BK114</f>
        <v>45.411457872260087</v>
      </c>
      <c r="B16" s="8">
        <f>tetto_ionofree_PR!BL114</f>
        <v>11.895210082771788</v>
      </c>
      <c r="C16" t="s">
        <v>135</v>
      </c>
      <c r="D16">
        <v>196</v>
      </c>
      <c r="E16" t="s">
        <v>136</v>
      </c>
      <c r="F16" t="s">
        <v>137</v>
      </c>
    </row>
    <row r="17" spans="1:6">
      <c r="A17" s="8">
        <f>tetto_ionofree_PR!BK122</f>
        <v>45.411552862043692</v>
      </c>
      <c r="B17" s="8">
        <f>tetto_ionofree_PR!BL122</f>
        <v>11.894957531611391</v>
      </c>
      <c r="C17" t="s">
        <v>135</v>
      </c>
      <c r="D17">
        <v>196</v>
      </c>
      <c r="E17" t="s">
        <v>136</v>
      </c>
      <c r="F17" t="s">
        <v>137</v>
      </c>
    </row>
    <row r="18" spans="1:6">
      <c r="A18" s="8">
        <f>tetto_ionofree_PR!BK130</f>
        <v>45.411622530097809</v>
      </c>
      <c r="B18" s="8">
        <f>tetto_ionofree_PR!BL130</f>
        <v>11.894769551275299</v>
      </c>
      <c r="C18" t="s">
        <v>135</v>
      </c>
      <c r="D18">
        <v>196</v>
      </c>
      <c r="E18" t="s">
        <v>136</v>
      </c>
      <c r="F18" t="s">
        <v>137</v>
      </c>
    </row>
    <row r="19" spans="1:6">
      <c r="A19" s="8">
        <f>tetto_ionofree_PR!BK138</f>
        <v>45.411662317547396</v>
      </c>
      <c r="B19" s="8">
        <f>tetto_ionofree_PR!BL138</f>
        <v>11.894627949428973</v>
      </c>
      <c r="C19" t="s">
        <v>135</v>
      </c>
      <c r="D19">
        <v>196</v>
      </c>
      <c r="E19" t="s">
        <v>136</v>
      </c>
      <c r="F19" t="s">
        <v>137</v>
      </c>
    </row>
    <row r="20" spans="1:6">
      <c r="A20" s="8">
        <f>tetto_ionofree_PR!BK146</f>
        <v>45.41157076923831</v>
      </c>
      <c r="B20" s="8">
        <f>tetto_ionofree_PR!BL146</f>
        <v>11.894740037055049</v>
      </c>
      <c r="C20" t="s">
        <v>135</v>
      </c>
      <c r="D20">
        <v>196</v>
      </c>
      <c r="E20" t="s">
        <v>136</v>
      </c>
      <c r="F20" t="s">
        <v>137</v>
      </c>
    </row>
    <row r="21" spans="1:6">
      <c r="A21" s="8">
        <f>tetto_ionofree_PR!BK154</f>
        <v>45.411485747275144</v>
      </c>
      <c r="B21" s="8">
        <f>tetto_ionofree_PR!BL154</f>
        <v>11.894966491326302</v>
      </c>
      <c r="C21" t="s">
        <v>135</v>
      </c>
      <c r="D21">
        <v>196</v>
      </c>
      <c r="E21" t="s">
        <v>136</v>
      </c>
      <c r="F21" t="s">
        <v>137</v>
      </c>
    </row>
    <row r="22" spans="1:6">
      <c r="A22" s="8">
        <f>tetto_ionofree_PR!BK162</f>
        <v>45.411400897356948</v>
      </c>
      <c r="B22" s="8">
        <f>tetto_ionofree_PR!BL162</f>
        <v>11.895197819862375</v>
      </c>
      <c r="C22" t="s">
        <v>135</v>
      </c>
      <c r="D22">
        <v>196</v>
      </c>
      <c r="E22" t="s">
        <v>136</v>
      </c>
      <c r="F22" t="s">
        <v>137</v>
      </c>
    </row>
    <row r="23" spans="1:6">
      <c r="A23" s="8">
        <f>tetto_ionofree_PR!BK170</f>
        <v>45.411304348577318</v>
      </c>
      <c r="B23" s="8">
        <f>tetto_ionofree_PR!BL170</f>
        <v>11.895460986091035</v>
      </c>
      <c r="C23" t="s">
        <v>135</v>
      </c>
      <c r="D23">
        <v>196</v>
      </c>
      <c r="E23" t="s">
        <v>136</v>
      </c>
      <c r="F23" t="s">
        <v>137</v>
      </c>
    </row>
    <row r="24" spans="1:6">
      <c r="A24" s="8">
        <f>tetto_ionofree_PR!BK178</f>
        <v>45.411205879551389</v>
      </c>
      <c r="B24" s="8">
        <f>tetto_ionofree_PR!BL178</f>
        <v>11.895724082378919</v>
      </c>
      <c r="C24" t="s">
        <v>135</v>
      </c>
      <c r="D24">
        <v>196</v>
      </c>
      <c r="E24" t="s">
        <v>136</v>
      </c>
      <c r="F24" t="s">
        <v>137</v>
      </c>
    </row>
    <row r="25" spans="1:6">
      <c r="A25" s="8">
        <f>tetto_ionofree_PR!BK186</f>
        <v>45.411188221374303</v>
      </c>
      <c r="B25" s="8">
        <f>tetto_ionofree_PR!BL186</f>
        <v>11.895837395020711</v>
      </c>
      <c r="C25" t="s">
        <v>135</v>
      </c>
      <c r="D25">
        <v>196</v>
      </c>
      <c r="E25" t="s">
        <v>136</v>
      </c>
      <c r="F25" t="s">
        <v>137</v>
      </c>
    </row>
    <row r="26" spans="1:6">
      <c r="A26" s="8">
        <f>tetto_ionofree_PR!BK194</f>
        <v>45.411215681375474</v>
      </c>
      <c r="B26" s="8">
        <f>tetto_ionofree_PR!BL194</f>
        <v>11.89579720037341</v>
      </c>
      <c r="C26" t="s">
        <v>135</v>
      </c>
      <c r="D26">
        <v>196</v>
      </c>
      <c r="E26" t="s">
        <v>136</v>
      </c>
      <c r="F26" t="s">
        <v>137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Foglio13"/>
  <dimension ref="A1:F26"/>
  <sheetViews>
    <sheetView workbookViewId="0">
      <selection activeCell="A2" sqref="A2"/>
    </sheetView>
  </sheetViews>
  <sheetFormatPr defaultRowHeight="15"/>
  <sheetData>
    <row r="1" spans="1:6">
      <c r="A1" t="s">
        <v>129</v>
      </c>
      <c r="B1" t="s">
        <v>130</v>
      </c>
      <c r="C1" t="s">
        <v>131</v>
      </c>
      <c r="D1" t="s">
        <v>132</v>
      </c>
      <c r="E1" t="s">
        <v>133</v>
      </c>
      <c r="F1" t="s">
        <v>134</v>
      </c>
    </row>
    <row r="2" spans="1:6">
      <c r="A2">
        <f>tetto!BH2</f>
        <v>45.41123944537766</v>
      </c>
      <c r="B2">
        <f>tetto!BI2</f>
        <v>11.895830042384365</v>
      </c>
      <c r="C2" t="s">
        <v>135</v>
      </c>
      <c r="D2">
        <v>196</v>
      </c>
      <c r="E2" t="s">
        <v>136</v>
      </c>
      <c r="F2" t="s">
        <v>137</v>
      </c>
    </row>
    <row r="3" spans="1:6">
      <c r="A3">
        <f>tetto!BH10</f>
        <v>45.411239624385388</v>
      </c>
      <c r="B3">
        <f>tetto!BI10</f>
        <v>11.895829893684434</v>
      </c>
      <c r="C3" t="s">
        <v>135</v>
      </c>
      <c r="D3">
        <v>196</v>
      </c>
      <c r="E3" t="s">
        <v>136</v>
      </c>
      <c r="F3" t="s">
        <v>137</v>
      </c>
    </row>
    <row r="4" spans="1:6">
      <c r="A4">
        <f>tetto!BH18</f>
        <v>45.411241002917379</v>
      </c>
      <c r="B4">
        <f>tetto!BI18</f>
        <v>11.895829926752114</v>
      </c>
      <c r="C4" t="s">
        <v>135</v>
      </c>
      <c r="D4">
        <v>196</v>
      </c>
      <c r="E4" t="s">
        <v>136</v>
      </c>
      <c r="F4" t="s">
        <v>137</v>
      </c>
    </row>
    <row r="5" spans="1:6">
      <c r="A5">
        <f>tetto!BH26</f>
        <v>45.411244445421495</v>
      </c>
      <c r="B5">
        <f>tetto!BI26</f>
        <v>11.89582959582796</v>
      </c>
      <c r="C5" t="s">
        <v>135</v>
      </c>
      <c r="D5">
        <v>196</v>
      </c>
      <c r="E5" t="s">
        <v>136</v>
      </c>
      <c r="F5" t="s">
        <v>137</v>
      </c>
    </row>
    <row r="6" spans="1:6">
      <c r="A6">
        <f>tetto!BH34</f>
        <v>45.411247891161452</v>
      </c>
      <c r="B6">
        <f>tetto!BI34</f>
        <v>11.895827352338866</v>
      </c>
      <c r="C6" t="s">
        <v>135</v>
      </c>
      <c r="D6">
        <v>196</v>
      </c>
      <c r="E6" t="s">
        <v>136</v>
      </c>
      <c r="F6" t="s">
        <v>137</v>
      </c>
    </row>
    <row r="7" spans="1:6">
      <c r="A7">
        <f>tetto!BH42</f>
        <v>45.411249296214628</v>
      </c>
      <c r="B7">
        <f>tetto!BI42</f>
        <v>11.89582781316664</v>
      </c>
      <c r="C7" t="s">
        <v>135</v>
      </c>
      <c r="D7">
        <v>196</v>
      </c>
      <c r="E7" t="s">
        <v>136</v>
      </c>
      <c r="F7" t="s">
        <v>137</v>
      </c>
    </row>
    <row r="8" spans="1:6">
      <c r="A8">
        <f>tetto!BH50</f>
        <v>45.411248706751067</v>
      </c>
      <c r="B8">
        <f>tetto!BI50</f>
        <v>11.895828125229439</v>
      </c>
      <c r="C8" t="s">
        <v>135</v>
      </c>
      <c r="D8">
        <v>196</v>
      </c>
      <c r="E8" t="s">
        <v>136</v>
      </c>
      <c r="F8" t="s">
        <v>137</v>
      </c>
    </row>
    <row r="9" spans="1:6">
      <c r="A9">
        <f>tetto!BH58</f>
        <v>45.411245559975185</v>
      </c>
      <c r="B9">
        <f>tetto!BI58</f>
        <v>11.895830895399289</v>
      </c>
      <c r="C9" t="s">
        <v>135</v>
      </c>
      <c r="D9">
        <v>196</v>
      </c>
      <c r="E9" t="s">
        <v>136</v>
      </c>
      <c r="F9" t="s">
        <v>137</v>
      </c>
    </row>
    <row r="10" spans="1:6">
      <c r="A10">
        <f>tetto!BH66</f>
        <v>45.411241901966349</v>
      </c>
      <c r="B10">
        <f>tetto!BI66</f>
        <v>11.89583009411905</v>
      </c>
      <c r="C10" t="s">
        <v>135</v>
      </c>
      <c r="D10">
        <v>196</v>
      </c>
      <c r="E10" t="s">
        <v>136</v>
      </c>
      <c r="F10" t="s">
        <v>137</v>
      </c>
    </row>
    <row r="11" spans="1:6">
      <c r="A11">
        <f>tetto!BH74</f>
        <v>45.411239515766084</v>
      </c>
      <c r="B11">
        <f>tetto!BI74</f>
        <v>11.895828273789347</v>
      </c>
      <c r="C11" t="s">
        <v>135</v>
      </c>
      <c r="D11">
        <v>196</v>
      </c>
      <c r="E11" t="s">
        <v>136</v>
      </c>
      <c r="F11" t="s">
        <v>137</v>
      </c>
    </row>
    <row r="12" spans="1:6">
      <c r="A12">
        <f>tetto!BH82</f>
        <v>45.411245777026124</v>
      </c>
      <c r="B12">
        <f>tetto!BI82</f>
        <v>11.8958218553222</v>
      </c>
      <c r="C12" t="s">
        <v>135</v>
      </c>
      <c r="D12">
        <v>196</v>
      </c>
      <c r="E12" t="s">
        <v>136</v>
      </c>
      <c r="F12" t="s">
        <v>137</v>
      </c>
    </row>
    <row r="13" spans="1:6">
      <c r="A13">
        <f>tetto!BH90</f>
        <v>45.411247636847918</v>
      </c>
      <c r="B13">
        <f>tetto!BI90</f>
        <v>11.895819250420647</v>
      </c>
      <c r="C13" t="s">
        <v>135</v>
      </c>
      <c r="D13">
        <v>196</v>
      </c>
      <c r="E13" t="s">
        <v>136</v>
      </c>
      <c r="F13" t="s">
        <v>137</v>
      </c>
    </row>
    <row r="14" spans="1:6">
      <c r="A14">
        <f>tetto!BH98</f>
        <v>45.41133801398238</v>
      </c>
      <c r="B14">
        <f>tetto!BI98</f>
        <v>11.895630637627377</v>
      </c>
      <c r="C14" t="s">
        <v>135</v>
      </c>
      <c r="D14">
        <v>196</v>
      </c>
      <c r="E14" t="s">
        <v>136</v>
      </c>
      <c r="F14" t="s">
        <v>137</v>
      </c>
    </row>
    <row r="15" spans="1:6">
      <c r="A15">
        <f>tetto!BH106</f>
        <v>45.411358024586171</v>
      </c>
      <c r="B15">
        <f>tetto!BI106</f>
        <v>11.895400162525373</v>
      </c>
      <c r="C15" t="s">
        <v>135</v>
      </c>
      <c r="D15">
        <v>196</v>
      </c>
      <c r="E15" t="s">
        <v>136</v>
      </c>
      <c r="F15" t="s">
        <v>137</v>
      </c>
    </row>
    <row r="16" spans="1:6">
      <c r="A16">
        <f>tetto!BH114</f>
        <v>45.411484280705551</v>
      </c>
      <c r="B16">
        <f>tetto!BI114</f>
        <v>11.895229368825497</v>
      </c>
      <c r="C16" t="s">
        <v>135</v>
      </c>
      <c r="D16">
        <v>196</v>
      </c>
      <c r="E16" t="s">
        <v>136</v>
      </c>
      <c r="F16" t="s">
        <v>137</v>
      </c>
    </row>
    <row r="17" spans="1:6">
      <c r="A17">
        <f>tetto!BH122</f>
        <v>45.411578797648239</v>
      </c>
      <c r="B17">
        <f>tetto!BI122</f>
        <v>11.894978786872837</v>
      </c>
      <c r="C17" t="s">
        <v>135</v>
      </c>
      <c r="D17">
        <v>196</v>
      </c>
      <c r="E17" t="s">
        <v>136</v>
      </c>
      <c r="F17" t="s">
        <v>137</v>
      </c>
    </row>
    <row r="18" spans="1:6">
      <c r="A18">
        <f>tetto!BH130</f>
        <v>45.411647351734523</v>
      </c>
      <c r="B18">
        <f>tetto!BI130</f>
        <v>11.894791070151021</v>
      </c>
      <c r="C18" t="s">
        <v>135</v>
      </c>
      <c r="D18">
        <v>196</v>
      </c>
      <c r="E18" t="s">
        <v>136</v>
      </c>
      <c r="F18" t="s">
        <v>137</v>
      </c>
    </row>
    <row r="19" spans="1:6">
      <c r="A19">
        <f>tetto!BH138</f>
        <v>45.411684263474427</v>
      </c>
      <c r="B19">
        <f>tetto!BI138</f>
        <v>11.894646595145121</v>
      </c>
      <c r="C19" t="s">
        <v>135</v>
      </c>
      <c r="D19">
        <v>196</v>
      </c>
      <c r="E19" t="s">
        <v>136</v>
      </c>
      <c r="F19" t="s">
        <v>137</v>
      </c>
    </row>
    <row r="20" spans="1:6">
      <c r="A20">
        <f>tetto!BH146</f>
        <v>45.411598260316218</v>
      </c>
      <c r="B20">
        <f>tetto!BI146</f>
        <v>11.894758804265818</v>
      </c>
      <c r="C20" t="s">
        <v>135</v>
      </c>
      <c r="D20">
        <v>196</v>
      </c>
      <c r="E20" t="s">
        <v>136</v>
      </c>
      <c r="F20" t="s">
        <v>137</v>
      </c>
    </row>
    <row r="21" spans="1:6">
      <c r="A21">
        <f>tetto!BH154</f>
        <v>45.411513754378738</v>
      </c>
      <c r="B21">
        <f>tetto!BI154</f>
        <v>11.894985725618341</v>
      </c>
      <c r="C21" t="s">
        <v>135</v>
      </c>
      <c r="D21">
        <v>196</v>
      </c>
      <c r="E21" t="s">
        <v>136</v>
      </c>
      <c r="F21" t="s">
        <v>137</v>
      </c>
    </row>
    <row r="22" spans="1:6">
      <c r="A22">
        <f>tetto!BH162</f>
        <v>45.411428705827866</v>
      </c>
      <c r="B22">
        <f>tetto!BI162</f>
        <v>11.895216183215723</v>
      </c>
      <c r="C22" t="s">
        <v>135</v>
      </c>
      <c r="D22">
        <v>196</v>
      </c>
      <c r="E22" t="s">
        <v>136</v>
      </c>
      <c r="F22" t="s">
        <v>137</v>
      </c>
    </row>
    <row r="23" spans="1:6">
      <c r="A23">
        <f>tetto!BH170</f>
        <v>45.411332774087043</v>
      </c>
      <c r="B23">
        <f>tetto!BI170</f>
        <v>11.895476580014261</v>
      </c>
      <c r="C23" t="s">
        <v>135</v>
      </c>
      <c r="D23">
        <v>196</v>
      </c>
      <c r="E23" t="s">
        <v>136</v>
      </c>
      <c r="F23" t="s">
        <v>137</v>
      </c>
    </row>
    <row r="24" spans="1:6">
      <c r="A24">
        <f>tetto!BH178</f>
        <v>45.411234187636559</v>
      </c>
      <c r="B24">
        <f>tetto!BI178</f>
        <v>11.895741653128617</v>
      </c>
      <c r="C24" t="s">
        <v>135</v>
      </c>
      <c r="D24">
        <v>196</v>
      </c>
      <c r="E24" t="s">
        <v>136</v>
      </c>
      <c r="F24" t="s">
        <v>137</v>
      </c>
    </row>
    <row r="25" spans="1:6">
      <c r="A25">
        <f>tetto!BH186</f>
        <v>45.411215409993943</v>
      </c>
      <c r="B25">
        <f>tetto!BI186</f>
        <v>11.895853932798882</v>
      </c>
      <c r="C25" t="s">
        <v>135</v>
      </c>
      <c r="D25">
        <v>196</v>
      </c>
      <c r="E25" t="s">
        <v>136</v>
      </c>
      <c r="F25" t="s">
        <v>137</v>
      </c>
    </row>
    <row r="26" spans="1:6">
      <c r="A26">
        <f>tetto!BH194</f>
        <v>45.411240949281051</v>
      </c>
      <c r="B26">
        <f>tetto!BI194</f>
        <v>11.895816695590263</v>
      </c>
      <c r="C26" t="s">
        <v>135</v>
      </c>
      <c r="D26">
        <v>196</v>
      </c>
      <c r="E26" t="s">
        <v>136</v>
      </c>
      <c r="F2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Foglio1"/>
  <dimension ref="A1:I354"/>
  <sheetViews>
    <sheetView topLeftCell="A336" workbookViewId="0">
      <selection activeCell="B346" sqref="B346:E346"/>
    </sheetView>
  </sheetViews>
  <sheetFormatPr defaultRowHeight="15"/>
  <sheetData>
    <row r="1" spans="1:5">
      <c r="A1" t="s">
        <v>0</v>
      </c>
      <c r="B1" t="s">
        <v>72</v>
      </c>
      <c r="C1">
        <v>0</v>
      </c>
    </row>
    <row r="2" spans="1:5">
      <c r="A2" t="s">
        <v>1</v>
      </c>
      <c r="B2">
        <v>-11725.650406999999</v>
      </c>
      <c r="C2">
        <v>11418.568802</v>
      </c>
      <c r="D2">
        <v>20786.744176</v>
      </c>
      <c r="E2">
        <v>999999.99999899999</v>
      </c>
    </row>
    <row r="3" spans="1:5">
      <c r="A3" t="s">
        <v>2</v>
      </c>
      <c r="B3">
        <v>3175.2787640000001</v>
      </c>
      <c r="C3">
        <v>-15333.94405</v>
      </c>
      <c r="D3">
        <v>21430.969657000001</v>
      </c>
      <c r="E3">
        <v>257.58654100000001</v>
      </c>
    </row>
    <row r="4" spans="1:5">
      <c r="A4" t="s">
        <v>3</v>
      </c>
      <c r="B4">
        <v>-6211.58896</v>
      </c>
      <c r="C4">
        <v>22886.465344</v>
      </c>
      <c r="D4">
        <v>-11968.730417000001</v>
      </c>
      <c r="E4">
        <v>557.84669599999995</v>
      </c>
    </row>
    <row r="5" spans="1:5">
      <c r="A5" t="s">
        <v>4</v>
      </c>
      <c r="B5">
        <v>18737.20983</v>
      </c>
      <c r="C5">
        <v>-8028.7626499999997</v>
      </c>
      <c r="D5">
        <v>17040.697998</v>
      </c>
      <c r="E5">
        <v>86.587373999999997</v>
      </c>
    </row>
    <row r="6" spans="1:5">
      <c r="A6" t="s">
        <v>5</v>
      </c>
      <c r="B6">
        <v>-1095.2590640000001</v>
      </c>
      <c r="C6">
        <v>-25165.996601999999</v>
      </c>
      <c r="D6">
        <v>8269.5007979999991</v>
      </c>
      <c r="E6">
        <v>-3.7269860000000001</v>
      </c>
    </row>
    <row r="7" spans="1:5">
      <c r="A7" t="s">
        <v>6</v>
      </c>
      <c r="B7">
        <v>-11495.776146</v>
      </c>
      <c r="C7">
        <v>22291.745143</v>
      </c>
      <c r="D7">
        <v>-8329.5727389999993</v>
      </c>
      <c r="E7">
        <v>633.42790600000001</v>
      </c>
    </row>
    <row r="8" spans="1:5">
      <c r="A8" t="s">
        <v>7</v>
      </c>
      <c r="B8">
        <v>25927.129244</v>
      </c>
      <c r="C8">
        <v>6117.0624529999996</v>
      </c>
      <c r="D8">
        <v>-884.986221</v>
      </c>
      <c r="E8">
        <v>-0.63734900000000005</v>
      </c>
    </row>
    <row r="9" spans="1:5">
      <c r="A9" t="s">
        <v>8</v>
      </c>
      <c r="B9">
        <v>23585.088340999999</v>
      </c>
      <c r="C9">
        <v>-866.87332500000002</v>
      </c>
      <c r="D9">
        <v>-12716.127805</v>
      </c>
      <c r="E9">
        <v>5.4542659999999996</v>
      </c>
    </row>
    <row r="10" spans="1:5">
      <c r="A10" t="s">
        <v>9</v>
      </c>
      <c r="B10">
        <v>-14658.988316999999</v>
      </c>
      <c r="C10">
        <v>-14943.087099</v>
      </c>
      <c r="D10">
        <v>-16919.419880000001</v>
      </c>
      <c r="E10">
        <v>7.8005040000000001</v>
      </c>
    </row>
    <row r="11" spans="1:5">
      <c r="A11" t="s">
        <v>10</v>
      </c>
      <c r="B11">
        <v>6480.1217120000001</v>
      </c>
      <c r="C11">
        <v>-20001.969723999999</v>
      </c>
      <c r="D11">
        <v>15830.005010000001</v>
      </c>
      <c r="E11">
        <v>-43.000362000000003</v>
      </c>
    </row>
    <row r="12" spans="1:5">
      <c r="A12" t="s">
        <v>11</v>
      </c>
      <c r="B12">
        <v>19542.815347</v>
      </c>
      <c r="C12">
        <v>11807.350651000001</v>
      </c>
      <c r="D12">
        <v>-14114.417857</v>
      </c>
      <c r="E12">
        <v>-63.884177999999999</v>
      </c>
    </row>
    <row r="13" spans="1:5">
      <c r="A13" t="s">
        <v>12</v>
      </c>
      <c r="B13">
        <v>-12127.052967</v>
      </c>
      <c r="C13">
        <v>-22074.203032000001</v>
      </c>
      <c r="D13">
        <v>8726.3350169999994</v>
      </c>
      <c r="E13">
        <v>-113.001758</v>
      </c>
    </row>
    <row r="14" spans="1:5">
      <c r="A14" t="s">
        <v>13</v>
      </c>
      <c r="B14">
        <v>17368.707301999999</v>
      </c>
      <c r="C14">
        <v>1899.4367480000001</v>
      </c>
      <c r="D14">
        <v>19874.278448000001</v>
      </c>
      <c r="E14">
        <v>304.22002199999997</v>
      </c>
    </row>
    <row r="15" spans="1:5">
      <c r="A15" t="s">
        <v>14</v>
      </c>
      <c r="B15">
        <v>-21231.938821</v>
      </c>
      <c r="C15">
        <v>14834.750907</v>
      </c>
      <c r="D15">
        <v>-5429.1439630000004</v>
      </c>
      <c r="E15">
        <v>48.017251999999999</v>
      </c>
    </row>
    <row r="16" spans="1:5">
      <c r="A16" t="s">
        <v>15</v>
      </c>
      <c r="B16">
        <v>-492.69363199999998</v>
      </c>
      <c r="C16">
        <v>-18792.417635000002</v>
      </c>
      <c r="D16">
        <v>-18704.891135000002</v>
      </c>
      <c r="E16">
        <v>-269.63732700000003</v>
      </c>
    </row>
    <row r="17" spans="1:5">
      <c r="A17" t="s">
        <v>16</v>
      </c>
      <c r="B17">
        <v>-3677.796394</v>
      </c>
      <c r="C17">
        <v>22587.300058000001</v>
      </c>
      <c r="D17">
        <v>13281.302453</v>
      </c>
      <c r="E17">
        <v>-73.582768000000002</v>
      </c>
    </row>
    <row r="18" spans="1:5">
      <c r="A18" t="s">
        <v>17</v>
      </c>
      <c r="B18">
        <v>21254.831851999999</v>
      </c>
      <c r="C18">
        <v>-14199.060285</v>
      </c>
      <c r="D18">
        <v>-6693.0737570000001</v>
      </c>
      <c r="E18">
        <v>152.04816600000001</v>
      </c>
    </row>
    <row r="19" spans="1:5">
      <c r="A19" t="s">
        <v>18</v>
      </c>
      <c r="B19">
        <v>-16511.099176</v>
      </c>
      <c r="C19">
        <v>-6615.1865129999996</v>
      </c>
      <c r="D19">
        <v>-19564.670999000002</v>
      </c>
      <c r="E19">
        <v>69.594752</v>
      </c>
    </row>
    <row r="20" spans="1:5">
      <c r="A20" t="s">
        <v>19</v>
      </c>
      <c r="B20">
        <v>318.42064499999998</v>
      </c>
      <c r="C20">
        <v>17919.980618000001</v>
      </c>
      <c r="D20">
        <v>-19466.655707000002</v>
      </c>
      <c r="E20">
        <v>-36.447434000000001</v>
      </c>
    </row>
    <row r="21" spans="1:5">
      <c r="A21" t="s">
        <v>20</v>
      </c>
      <c r="B21">
        <v>14103.754392999999</v>
      </c>
      <c r="C21">
        <v>20049.164488999999</v>
      </c>
      <c r="D21">
        <v>10151.272761</v>
      </c>
      <c r="E21">
        <v>55.819052999999997</v>
      </c>
    </row>
    <row r="22" spans="1:5">
      <c r="A22" t="s">
        <v>21</v>
      </c>
      <c r="B22">
        <v>-26226.497939000001</v>
      </c>
      <c r="C22">
        <v>-3813.7995609999998</v>
      </c>
      <c r="D22">
        <v>-4266.4977799999997</v>
      </c>
      <c r="E22">
        <v>-61.593556</v>
      </c>
    </row>
    <row r="23" spans="1:5">
      <c r="A23" t="s">
        <v>22</v>
      </c>
      <c r="B23">
        <v>-14130.17251</v>
      </c>
      <c r="C23">
        <v>7464.2490589999998</v>
      </c>
      <c r="D23">
        <v>-21044.256703999999</v>
      </c>
      <c r="E23">
        <v>171.612067</v>
      </c>
    </row>
    <row r="24" spans="1:5">
      <c r="A24" t="s">
        <v>23</v>
      </c>
      <c r="B24">
        <v>11556.146638</v>
      </c>
      <c r="C24">
        <v>9703.7129850000001</v>
      </c>
      <c r="D24">
        <v>21838.356103999999</v>
      </c>
      <c r="E24">
        <v>370.05889300000001</v>
      </c>
    </row>
    <row r="25" spans="1:5">
      <c r="A25" t="s">
        <v>24</v>
      </c>
      <c r="B25">
        <v>-22294.087081000001</v>
      </c>
      <c r="C25">
        <v>3379.5798150000001</v>
      </c>
      <c r="D25">
        <v>-13777.939101</v>
      </c>
      <c r="E25">
        <v>289.19656600000002</v>
      </c>
    </row>
    <row r="26" spans="1:5">
      <c r="A26" t="s">
        <v>25</v>
      </c>
      <c r="B26">
        <v>-7793.1361930000003</v>
      </c>
      <c r="C26">
        <v>-12776.203509999999</v>
      </c>
      <c r="D26">
        <v>-22443.620321999999</v>
      </c>
      <c r="E26">
        <v>-54.762346000000001</v>
      </c>
    </row>
    <row r="27" spans="1:5">
      <c r="A27" t="s">
        <v>26</v>
      </c>
      <c r="B27">
        <v>-12119.944697000001</v>
      </c>
      <c r="C27">
        <v>-14709.759607</v>
      </c>
      <c r="D27">
        <v>-17884.371448999998</v>
      </c>
      <c r="E27">
        <v>153.86600200000001</v>
      </c>
    </row>
    <row r="28" spans="1:5">
      <c r="A28" t="s">
        <v>27</v>
      </c>
      <c r="B28">
        <v>14154.933299</v>
      </c>
      <c r="C28">
        <v>-4318.4907519999997</v>
      </c>
      <c r="D28">
        <v>-21573.336354999999</v>
      </c>
      <c r="E28">
        <v>-15.680700999999999</v>
      </c>
    </row>
    <row r="29" spans="1:5">
      <c r="A29" t="s">
        <v>28</v>
      </c>
      <c r="B29">
        <v>-17474.777353000001</v>
      </c>
      <c r="C29">
        <v>-2549.5969129999999</v>
      </c>
      <c r="D29">
        <v>19922.457889000001</v>
      </c>
      <c r="E29">
        <v>121.398883</v>
      </c>
    </row>
    <row r="30" spans="1:5">
      <c r="A30" t="s">
        <v>29</v>
      </c>
      <c r="B30">
        <v>-16273.604952</v>
      </c>
      <c r="C30">
        <v>-12824.159180000001</v>
      </c>
      <c r="D30">
        <v>16254.940305</v>
      </c>
      <c r="E30">
        <v>244.60876300000001</v>
      </c>
    </row>
    <row r="31" spans="1:5">
      <c r="A31" t="s">
        <v>30</v>
      </c>
      <c r="B31">
        <v>-16254.462380999999</v>
      </c>
      <c r="C31">
        <v>9159.0232990000004</v>
      </c>
      <c r="D31">
        <v>19179.482424999998</v>
      </c>
      <c r="E31">
        <v>-35.399155</v>
      </c>
    </row>
    <row r="32" spans="1:5">
      <c r="A32" t="s">
        <v>31</v>
      </c>
      <c r="B32">
        <v>7743.0116120000002</v>
      </c>
      <c r="C32">
        <v>25315.660201999999</v>
      </c>
      <c r="D32">
        <v>4136.902521</v>
      </c>
      <c r="E32">
        <v>999999.99999899999</v>
      </c>
    </row>
    <row r="33" spans="1:5">
      <c r="A33" t="s">
        <v>0</v>
      </c>
      <c r="B33" t="s">
        <v>73</v>
      </c>
      <c r="C33">
        <v>0</v>
      </c>
    </row>
    <row r="34" spans="1:5">
      <c r="A34" t="s">
        <v>1</v>
      </c>
      <c r="B34">
        <v>-12531.189549000001</v>
      </c>
      <c r="C34">
        <v>9114.2643900000003</v>
      </c>
      <c r="D34">
        <v>21453.634968999999</v>
      </c>
      <c r="E34">
        <v>999999.99999899999</v>
      </c>
    </row>
    <row r="35" spans="1:5">
      <c r="A35" t="s">
        <v>2</v>
      </c>
      <c r="B35">
        <v>5575.7636080000002</v>
      </c>
      <c r="C35">
        <v>-14805.568696</v>
      </c>
      <c r="D35">
        <v>21270.940010999999</v>
      </c>
      <c r="E35">
        <v>257.589764</v>
      </c>
    </row>
    <row r="36" spans="1:5">
      <c r="A36" t="s">
        <v>3</v>
      </c>
      <c r="B36">
        <v>-7169.3887290000002</v>
      </c>
      <c r="C36">
        <v>23677.774621</v>
      </c>
      <c r="D36">
        <v>-9548.4166879999993</v>
      </c>
      <c r="E36">
        <v>557.851677</v>
      </c>
    </row>
    <row r="37" spans="1:5">
      <c r="A37" t="s">
        <v>4</v>
      </c>
      <c r="B37">
        <v>20516.924905</v>
      </c>
      <c r="C37">
        <v>-7433.1557979999998</v>
      </c>
      <c r="D37">
        <v>15212.114376</v>
      </c>
      <c r="E37">
        <v>86.594847000000001</v>
      </c>
    </row>
    <row r="38" spans="1:5">
      <c r="A38" t="s">
        <v>5</v>
      </c>
      <c r="B38">
        <v>-531.75185699999997</v>
      </c>
      <c r="C38">
        <v>-24193.21139</v>
      </c>
      <c r="D38">
        <v>10833.560658</v>
      </c>
      <c r="E38">
        <v>-3.7284090000000001</v>
      </c>
    </row>
    <row r="39" spans="1:5">
      <c r="A39" t="s">
        <v>6</v>
      </c>
      <c r="B39">
        <v>-12275.959462999999</v>
      </c>
      <c r="C39">
        <v>22722.445357000001</v>
      </c>
      <c r="D39">
        <v>-5676.4235849999995</v>
      </c>
      <c r="E39">
        <v>633.41718000000003</v>
      </c>
    </row>
    <row r="40" spans="1:5">
      <c r="A40" t="s">
        <v>7</v>
      </c>
      <c r="B40">
        <v>25818.579173999999</v>
      </c>
      <c r="C40">
        <v>6309.3533589999997</v>
      </c>
      <c r="D40">
        <v>1981.5477579999999</v>
      </c>
      <c r="E40">
        <v>-0.63756500000000005</v>
      </c>
    </row>
    <row r="41" spans="1:5">
      <c r="A41" t="s">
        <v>8</v>
      </c>
      <c r="B41">
        <v>24792.258682</v>
      </c>
      <c r="C41">
        <v>-399.03470199999998</v>
      </c>
      <c r="D41">
        <v>-10241.056966</v>
      </c>
      <c r="E41">
        <v>5.4548360000000002</v>
      </c>
    </row>
    <row r="42" spans="1:5">
      <c r="A42" t="s">
        <v>9</v>
      </c>
      <c r="B42">
        <v>-12740.614552999999</v>
      </c>
      <c r="C42">
        <v>-14678.724577000001</v>
      </c>
      <c r="D42">
        <v>-18666.687975000001</v>
      </c>
      <c r="E42">
        <v>7.8042249999999997</v>
      </c>
    </row>
    <row r="43" spans="1:5">
      <c r="A43" t="s">
        <v>10</v>
      </c>
      <c r="B43">
        <v>7216.5738590000001</v>
      </c>
      <c r="C43">
        <v>-18174.383588000001</v>
      </c>
      <c r="D43">
        <v>17625.254464000001</v>
      </c>
      <c r="E43">
        <v>-43.000503000000002</v>
      </c>
    </row>
    <row r="44" spans="1:5">
      <c r="A44" t="s">
        <v>11</v>
      </c>
      <c r="B44">
        <v>17856.982145000002</v>
      </c>
      <c r="C44">
        <v>12120.254989999999</v>
      </c>
      <c r="D44">
        <v>-15961.490785</v>
      </c>
      <c r="E44">
        <v>-63.886018999999997</v>
      </c>
    </row>
    <row r="45" spans="1:5">
      <c r="A45" t="s">
        <v>12</v>
      </c>
      <c r="B45">
        <v>-12177.470985</v>
      </c>
      <c r="C45">
        <v>-22930.436392</v>
      </c>
      <c r="D45">
        <v>6026.951642</v>
      </c>
      <c r="E45">
        <v>-112.997995</v>
      </c>
    </row>
    <row r="46" spans="1:5">
      <c r="A46" t="s">
        <v>13</v>
      </c>
      <c r="B46">
        <v>15703.488674</v>
      </c>
      <c r="C46">
        <v>3570.6169199999999</v>
      </c>
      <c r="D46">
        <v>20987.928019999999</v>
      </c>
      <c r="E46">
        <v>304.219627</v>
      </c>
    </row>
    <row r="47" spans="1:5">
      <c r="A47" t="s">
        <v>14</v>
      </c>
      <c r="B47">
        <v>-20797.434464000002</v>
      </c>
      <c r="C47">
        <v>14141.560931</v>
      </c>
      <c r="D47">
        <v>-8199.3912610000007</v>
      </c>
      <c r="E47">
        <v>48.021048</v>
      </c>
    </row>
    <row r="48" spans="1:5">
      <c r="A48" t="s">
        <v>15</v>
      </c>
      <c r="B48">
        <v>991.89336500000002</v>
      </c>
      <c r="C48">
        <v>-20226.041492</v>
      </c>
      <c r="D48">
        <v>-17113.234682999999</v>
      </c>
      <c r="E48">
        <v>-269.631912</v>
      </c>
    </row>
    <row r="49" spans="1:5">
      <c r="A49" t="s">
        <v>16</v>
      </c>
      <c r="B49">
        <v>-4307.1575590000002</v>
      </c>
      <c r="C49">
        <v>21055.254153000002</v>
      </c>
      <c r="D49">
        <v>15463.306046</v>
      </c>
      <c r="E49">
        <v>-73.586357000000007</v>
      </c>
    </row>
    <row r="50" spans="1:5">
      <c r="A50" t="s">
        <v>17</v>
      </c>
      <c r="B50">
        <v>20792.093334000001</v>
      </c>
      <c r="C50">
        <v>-13345.192639999999</v>
      </c>
      <c r="D50">
        <v>-9355.1498599999995</v>
      </c>
      <c r="E50">
        <v>152.05056999999999</v>
      </c>
    </row>
    <row r="51" spans="1:5">
      <c r="A51" t="s">
        <v>18</v>
      </c>
      <c r="B51">
        <v>-17001.460787</v>
      </c>
      <c r="C51">
        <v>-8778.7022369999995</v>
      </c>
      <c r="D51">
        <v>-18303.672374999998</v>
      </c>
      <c r="E51">
        <v>69.596947999999998</v>
      </c>
    </row>
    <row r="52" spans="1:5">
      <c r="A52" t="s">
        <v>19</v>
      </c>
      <c r="B52">
        <v>-1363.2087329999999</v>
      </c>
      <c r="C52">
        <v>19288.100102</v>
      </c>
      <c r="D52">
        <v>-18037.65393</v>
      </c>
      <c r="E52">
        <v>-36.449874999999999</v>
      </c>
    </row>
    <row r="53" spans="1:5">
      <c r="A53" t="s">
        <v>20</v>
      </c>
      <c r="B53">
        <v>14170.825991</v>
      </c>
      <c r="C53">
        <v>21122.07546</v>
      </c>
      <c r="D53">
        <v>7599.7497880000001</v>
      </c>
      <c r="E53">
        <v>55.818356999999999</v>
      </c>
    </row>
    <row r="54" spans="1:5">
      <c r="A54" t="s">
        <v>21</v>
      </c>
      <c r="B54">
        <v>-26514.522395</v>
      </c>
      <c r="C54">
        <v>-4174.6907819999997</v>
      </c>
      <c r="D54">
        <v>-1529.4182969999999</v>
      </c>
      <c r="E54">
        <v>-61.595993999999997</v>
      </c>
    </row>
    <row r="55" spans="1:5">
      <c r="A55" t="s">
        <v>22</v>
      </c>
      <c r="B55">
        <v>-14835.946183</v>
      </c>
      <c r="C55">
        <v>5102.5833480000001</v>
      </c>
      <c r="D55">
        <v>-21269.021927999998</v>
      </c>
      <c r="E55">
        <v>171.611232</v>
      </c>
    </row>
    <row r="56" spans="1:5">
      <c r="A56" t="s">
        <v>23</v>
      </c>
      <c r="B56">
        <v>9839.6545119999992</v>
      </c>
      <c r="C56">
        <v>11520.718239</v>
      </c>
      <c r="D56">
        <v>21768.269645</v>
      </c>
      <c r="E56">
        <v>370.05768499999999</v>
      </c>
    </row>
    <row r="57" spans="1:5">
      <c r="A57" t="s">
        <v>24</v>
      </c>
      <c r="B57">
        <v>-23640.983457999999</v>
      </c>
      <c r="C57">
        <v>2747.953211</v>
      </c>
      <c r="D57">
        <v>-11474.933897999999</v>
      </c>
      <c r="E57">
        <v>289.201322</v>
      </c>
    </row>
    <row r="58" spans="1:5">
      <c r="A58" t="s">
        <v>25</v>
      </c>
      <c r="B58">
        <v>-6015.4699179999998</v>
      </c>
      <c r="C58">
        <v>-14421.152628</v>
      </c>
      <c r="D58">
        <v>-21939.344329</v>
      </c>
      <c r="E58">
        <v>-54.7669</v>
      </c>
    </row>
    <row r="59" spans="1:5">
      <c r="A59" t="s">
        <v>26</v>
      </c>
      <c r="B59">
        <v>-9880.3914170000007</v>
      </c>
      <c r="C59">
        <v>-14450.626042</v>
      </c>
      <c r="D59">
        <v>-19344.245268999999</v>
      </c>
      <c r="E59">
        <v>153.87229199999999</v>
      </c>
    </row>
    <row r="60" spans="1:5">
      <c r="A60" t="s">
        <v>27</v>
      </c>
      <c r="B60">
        <v>14843.656852</v>
      </c>
      <c r="C60">
        <v>-1848.4619680000001</v>
      </c>
      <c r="D60">
        <v>-21490.701003999999</v>
      </c>
      <c r="E60">
        <v>-15.679753</v>
      </c>
    </row>
    <row r="61" spans="1:5">
      <c r="A61" t="s">
        <v>28</v>
      </c>
      <c r="B61">
        <v>-15920.110682</v>
      </c>
      <c r="C61">
        <v>-4271.7333740000004</v>
      </c>
      <c r="D61">
        <v>20914.338084999999</v>
      </c>
      <c r="E61">
        <v>121.40137</v>
      </c>
    </row>
    <row r="62" spans="1:5">
      <c r="A62" t="s">
        <v>29</v>
      </c>
      <c r="B62">
        <v>-16707.997915</v>
      </c>
      <c r="C62">
        <v>-14591.08504</v>
      </c>
      <c r="D62">
        <v>14254.003812999999</v>
      </c>
      <c r="E62">
        <v>244.611604</v>
      </c>
    </row>
    <row r="63" spans="1:5">
      <c r="A63" t="s">
        <v>30</v>
      </c>
      <c r="B63">
        <v>-18237.731191999999</v>
      </c>
      <c r="C63">
        <v>8608.4505229999995</v>
      </c>
      <c r="D63">
        <v>17582.061444999999</v>
      </c>
      <c r="E63">
        <v>-35.397103000000001</v>
      </c>
    </row>
    <row r="64" spans="1:5">
      <c r="A64" t="s">
        <v>31</v>
      </c>
      <c r="B64">
        <v>7578.604781</v>
      </c>
      <c r="C64">
        <v>25631.511326</v>
      </c>
      <c r="D64">
        <v>1325.8088459999999</v>
      </c>
      <c r="E64">
        <v>999999.99999899999</v>
      </c>
    </row>
    <row r="65" spans="1:5">
      <c r="A65" t="s">
        <v>0</v>
      </c>
      <c r="B65" t="s">
        <v>74</v>
      </c>
      <c r="C65">
        <v>0</v>
      </c>
    </row>
    <row r="66" spans="1:5">
      <c r="A66" t="s">
        <v>1</v>
      </c>
      <c r="B66">
        <v>-13475.602392999999</v>
      </c>
      <c r="C66">
        <v>6805.4502409999996</v>
      </c>
      <c r="D66">
        <v>21747.366872999999</v>
      </c>
      <c r="E66">
        <v>999999.99999899999</v>
      </c>
    </row>
    <row r="67" spans="1:5">
      <c r="A67" t="s">
        <v>2</v>
      </c>
      <c r="B67">
        <v>7965.0282370000004</v>
      </c>
      <c r="C67">
        <v>-14399.162231</v>
      </c>
      <c r="D67">
        <v>20742.805354</v>
      </c>
      <c r="E67">
        <v>257.59270900000001</v>
      </c>
    </row>
    <row r="68" spans="1:5">
      <c r="A68" t="s">
        <v>3</v>
      </c>
      <c r="B68">
        <v>-7942.6242410000004</v>
      </c>
      <c r="C68">
        <v>24274.758493000001</v>
      </c>
      <c r="D68">
        <v>-6963.0198979999996</v>
      </c>
      <c r="E68">
        <v>557.85548600000004</v>
      </c>
    </row>
    <row r="69" spans="1:5">
      <c r="A69" t="s">
        <v>4</v>
      </c>
      <c r="B69">
        <v>22103.060245000001</v>
      </c>
      <c r="C69">
        <v>-6963.2335389999998</v>
      </c>
      <c r="D69">
        <v>13122.915016999999</v>
      </c>
      <c r="E69">
        <v>86.602293000000003</v>
      </c>
    </row>
    <row r="70" spans="1:5">
      <c r="A70" t="s">
        <v>5</v>
      </c>
      <c r="B70">
        <v>181.73986400000001</v>
      </c>
      <c r="C70">
        <v>-22989.342748999999</v>
      </c>
      <c r="D70">
        <v>13210.182744</v>
      </c>
      <c r="E70">
        <v>-3.72932</v>
      </c>
    </row>
    <row r="71" spans="1:5">
      <c r="A71" t="s">
        <v>6</v>
      </c>
      <c r="B71">
        <v>-12851.784597</v>
      </c>
      <c r="C71">
        <v>22943.234235</v>
      </c>
      <c r="D71">
        <v>-2924.2576330000002</v>
      </c>
      <c r="E71">
        <v>633.40628400000003</v>
      </c>
    </row>
    <row r="72" spans="1:5">
      <c r="A72" t="s">
        <v>7</v>
      </c>
      <c r="B72">
        <v>25403.005729</v>
      </c>
      <c r="C72">
        <v>6455.6218600000002</v>
      </c>
      <c r="D72">
        <v>4814.3245610000004</v>
      </c>
      <c r="E72">
        <v>-0.63784799999999997</v>
      </c>
    </row>
    <row r="73" spans="1:5">
      <c r="A73" t="s">
        <v>8</v>
      </c>
      <c r="B73">
        <v>25743.978649000001</v>
      </c>
      <c r="C73">
        <v>-68.121329000000003</v>
      </c>
      <c r="D73">
        <v>-7594.9125999999997</v>
      </c>
      <c r="E73">
        <v>5.4541839999999997</v>
      </c>
    </row>
    <row r="74" spans="1:5">
      <c r="A74" t="s">
        <v>9</v>
      </c>
      <c r="B74">
        <v>-10637.711298</v>
      </c>
      <c r="C74">
        <v>-14499.667549</v>
      </c>
      <c r="D74">
        <v>-20106.410980000001</v>
      </c>
      <c r="E74">
        <v>7.8056150000000004</v>
      </c>
    </row>
    <row r="75" spans="1:5">
      <c r="A75" t="s">
        <v>10</v>
      </c>
      <c r="B75">
        <v>8105.6032839999998</v>
      </c>
      <c r="C75">
        <v>-16210.250866</v>
      </c>
      <c r="D75">
        <v>19109.049927</v>
      </c>
      <c r="E75">
        <v>-43.001494000000001</v>
      </c>
    </row>
    <row r="76" spans="1:5">
      <c r="A76" t="s">
        <v>11</v>
      </c>
      <c r="B76">
        <v>15996.474448999999</v>
      </c>
      <c r="C76">
        <v>12516.059101999999</v>
      </c>
      <c r="D76">
        <v>-17542.443578999999</v>
      </c>
      <c r="E76">
        <v>-63.888159999999999</v>
      </c>
    </row>
    <row r="77" spans="1:5">
      <c r="A77" t="s">
        <v>12</v>
      </c>
      <c r="B77">
        <v>-12165.79355</v>
      </c>
      <c r="C77">
        <v>-23491.758213000001</v>
      </c>
      <c r="D77">
        <v>3224.9212929999999</v>
      </c>
      <c r="E77">
        <v>-112.99447499999999</v>
      </c>
    </row>
    <row r="78" spans="1:5">
      <c r="A78" t="s">
        <v>13</v>
      </c>
      <c r="B78">
        <v>14062.917409</v>
      </c>
      <c r="C78">
        <v>5412.166827</v>
      </c>
      <c r="D78">
        <v>21736.107284000002</v>
      </c>
      <c r="E78">
        <v>304.21936799999997</v>
      </c>
    </row>
    <row r="79" spans="1:5">
      <c r="A79" t="s">
        <v>14</v>
      </c>
      <c r="B79">
        <v>-20197.443192999999</v>
      </c>
      <c r="C79">
        <v>13194.562303000001</v>
      </c>
      <c r="D79">
        <v>-10826.785739000001</v>
      </c>
      <c r="E79">
        <v>48.025022999999997</v>
      </c>
    </row>
    <row r="80" spans="1:5">
      <c r="A80" t="s">
        <v>15</v>
      </c>
      <c r="B80">
        <v>2280.4459200000001</v>
      </c>
      <c r="C80">
        <v>-21578.592798000001</v>
      </c>
      <c r="D80">
        <v>-15225.51807</v>
      </c>
      <c r="E80">
        <v>-269.62678599999998</v>
      </c>
    </row>
    <row r="81" spans="1:5">
      <c r="A81" t="s">
        <v>16</v>
      </c>
      <c r="B81">
        <v>-5093.5276249999997</v>
      </c>
      <c r="C81">
        <v>19340.584858999999</v>
      </c>
      <c r="D81">
        <v>17376.678216</v>
      </c>
      <c r="E81">
        <v>-73.589764000000002</v>
      </c>
    </row>
    <row r="82" spans="1:5">
      <c r="A82" t="s">
        <v>17</v>
      </c>
      <c r="B82">
        <v>20183.176491999999</v>
      </c>
      <c r="C82">
        <v>-12244.627011</v>
      </c>
      <c r="D82">
        <v>-11853.610823999999</v>
      </c>
      <c r="E82">
        <v>152.05257700000001</v>
      </c>
    </row>
    <row r="83" spans="1:5">
      <c r="A83" t="s">
        <v>18</v>
      </c>
      <c r="B83">
        <v>-17541.736472000001</v>
      </c>
      <c r="C83">
        <v>-10759.646339000001</v>
      </c>
      <c r="D83">
        <v>-16724.787831000001</v>
      </c>
      <c r="E83">
        <v>69.599294999999998</v>
      </c>
    </row>
    <row r="84" spans="1:5">
      <c r="A84" t="s">
        <v>19</v>
      </c>
      <c r="B84">
        <v>-2850.0456840000002</v>
      </c>
      <c r="C84">
        <v>20610.697335000001</v>
      </c>
      <c r="D84">
        <v>-16294.14025</v>
      </c>
      <c r="E84">
        <v>-36.452432000000002</v>
      </c>
    </row>
    <row r="85" spans="1:5">
      <c r="A85" t="s">
        <v>20</v>
      </c>
      <c r="B85">
        <v>14177.006787</v>
      </c>
      <c r="C85">
        <v>21916.501560000001</v>
      </c>
      <c r="D85">
        <v>4917.2105499999998</v>
      </c>
      <c r="E85">
        <v>55.817627000000002</v>
      </c>
    </row>
    <row r="86" spans="1:5">
      <c r="A86" t="s">
        <v>21</v>
      </c>
      <c r="B86">
        <v>-26518.803705999999</v>
      </c>
      <c r="C86">
        <v>-4464.9795000000004</v>
      </c>
      <c r="D86">
        <v>1233.0785519999999</v>
      </c>
      <c r="E86">
        <v>-61.598261000000001</v>
      </c>
    </row>
    <row r="87" spans="1:5">
      <c r="A87" t="s">
        <v>22</v>
      </c>
      <c r="B87">
        <v>-15654.425918999999</v>
      </c>
      <c r="C87">
        <v>2773.827342</v>
      </c>
      <c r="D87">
        <v>-21122.371868999999</v>
      </c>
      <c r="E87">
        <v>171.61015900000001</v>
      </c>
    </row>
    <row r="88" spans="1:5">
      <c r="A88" t="s">
        <v>23</v>
      </c>
      <c r="B88">
        <v>8238.5875039999992</v>
      </c>
      <c r="C88">
        <v>13405.973856000001</v>
      </c>
      <c r="D88">
        <v>21322.003283999999</v>
      </c>
      <c r="E88">
        <v>370.05633</v>
      </c>
    </row>
    <row r="89" spans="1:5">
      <c r="A89" t="s">
        <v>24</v>
      </c>
      <c r="B89">
        <v>-24750.605629000001</v>
      </c>
      <c r="C89">
        <v>2241.5059099999999</v>
      </c>
      <c r="D89">
        <v>-8971.335067</v>
      </c>
      <c r="E89">
        <v>289.20643000000001</v>
      </c>
    </row>
    <row r="90" spans="1:5">
      <c r="A90" t="s">
        <v>25</v>
      </c>
      <c r="B90">
        <v>-4383.7103559999996</v>
      </c>
      <c r="C90">
        <v>-16113.956171</v>
      </c>
      <c r="D90">
        <v>-21073.070546999999</v>
      </c>
      <c r="E90">
        <v>-54.771647000000002</v>
      </c>
    </row>
    <row r="91" spans="1:5">
      <c r="A91" t="s">
        <v>26</v>
      </c>
      <c r="B91">
        <v>-7476.6208059999999</v>
      </c>
      <c r="C91">
        <v>-14296.168598</v>
      </c>
      <c r="D91">
        <v>-20452.931286999999</v>
      </c>
      <c r="E91">
        <v>153.87633700000001</v>
      </c>
    </row>
    <row r="92" spans="1:5">
      <c r="A92" t="s">
        <v>27</v>
      </c>
      <c r="B92">
        <v>15649.260326</v>
      </c>
      <c r="C92">
        <v>548.66402900000003</v>
      </c>
      <c r="D92">
        <v>-21022.162894000001</v>
      </c>
      <c r="E92">
        <v>-15.678978000000001</v>
      </c>
    </row>
    <row r="93" spans="1:5">
      <c r="A93" t="s">
        <v>28</v>
      </c>
      <c r="B93">
        <v>-14397.846794999999</v>
      </c>
      <c r="C93">
        <v>-6141.4519600000003</v>
      </c>
      <c r="D93">
        <v>21549.123473</v>
      </c>
      <c r="E93">
        <v>121.403727</v>
      </c>
    </row>
    <row r="94" spans="1:5">
      <c r="A94" t="s">
        <v>29</v>
      </c>
      <c r="B94">
        <v>-17135.797202999998</v>
      </c>
      <c r="C94">
        <v>-16107.187030999999</v>
      </c>
      <c r="D94">
        <v>12002.328426</v>
      </c>
      <c r="E94">
        <v>244.61435900000001</v>
      </c>
    </row>
    <row r="95" spans="1:5">
      <c r="A95" t="s">
        <v>30</v>
      </c>
      <c r="B95">
        <v>-20055.102074999999</v>
      </c>
      <c r="C95">
        <v>8199.6039860000001</v>
      </c>
      <c r="D95">
        <v>15688.637418</v>
      </c>
      <c r="E95">
        <v>-35.395484000000003</v>
      </c>
    </row>
    <row r="96" spans="1:5">
      <c r="A96" t="s">
        <v>31</v>
      </c>
      <c r="B96">
        <v>7341.2533890000004</v>
      </c>
      <c r="C96">
        <v>25652.187460000001</v>
      </c>
      <c r="D96">
        <v>-1507.56286</v>
      </c>
      <c r="E96">
        <v>999999.99999899999</v>
      </c>
    </row>
    <row r="97" spans="1:5">
      <c r="A97" t="s">
        <v>0</v>
      </c>
      <c r="B97" t="s">
        <v>75</v>
      </c>
      <c r="C97">
        <v>0</v>
      </c>
    </row>
    <row r="98" spans="1:5">
      <c r="A98" t="s">
        <v>1</v>
      </c>
      <c r="B98">
        <v>-14544.213706</v>
      </c>
      <c r="C98">
        <v>4539.8164640000005</v>
      </c>
      <c r="D98">
        <v>21663.232252999998</v>
      </c>
      <c r="E98">
        <v>999999.99999899999</v>
      </c>
    </row>
    <row r="99" spans="1:5">
      <c r="A99" t="s">
        <v>2</v>
      </c>
      <c r="B99">
        <v>10295.432434</v>
      </c>
      <c r="C99">
        <v>-14114.500091</v>
      </c>
      <c r="D99">
        <v>19854.397276</v>
      </c>
      <c r="E99">
        <v>257.595574</v>
      </c>
    </row>
    <row r="100" spans="1:5">
      <c r="A100" t="s">
        <v>3</v>
      </c>
      <c r="B100">
        <v>-8548.2506580000008</v>
      </c>
      <c r="C100">
        <v>24644.360443000001</v>
      </c>
      <c r="D100">
        <v>-4256.6355990000002</v>
      </c>
      <c r="E100">
        <v>557.85867800000005</v>
      </c>
    </row>
    <row r="101" spans="1:5">
      <c r="A101" t="s">
        <v>4</v>
      </c>
      <c r="B101">
        <v>23461.402368999999</v>
      </c>
      <c r="C101">
        <v>-6597.749253</v>
      </c>
      <c r="D101">
        <v>10809.655729</v>
      </c>
      <c r="E101">
        <v>86.609615000000005</v>
      </c>
    </row>
    <row r="102" spans="1:5">
      <c r="A102" t="s">
        <v>5</v>
      </c>
      <c r="B102">
        <v>1063.889876</v>
      </c>
      <c r="C102">
        <v>-21591.100461999999</v>
      </c>
      <c r="D102">
        <v>15358.301448</v>
      </c>
      <c r="E102">
        <v>-3.7303809999999999</v>
      </c>
    </row>
    <row r="103" spans="1:5">
      <c r="A103" t="s">
        <v>6</v>
      </c>
      <c r="B103">
        <v>-13245.496483999999</v>
      </c>
      <c r="C103">
        <v>22926.552715000002</v>
      </c>
      <c r="D103">
        <v>-121.168159</v>
      </c>
      <c r="E103">
        <v>633.39615000000003</v>
      </c>
    </row>
    <row r="104" spans="1:5">
      <c r="A104" t="s">
        <v>7</v>
      </c>
      <c r="B104">
        <v>24682.032132</v>
      </c>
      <c r="C104">
        <v>6594.214747</v>
      </c>
      <c r="D104">
        <v>7565.0588969999999</v>
      </c>
      <c r="E104">
        <v>-0.63828300000000004</v>
      </c>
    </row>
    <row r="105" spans="1:5">
      <c r="A105" t="s">
        <v>8</v>
      </c>
      <c r="B105">
        <v>26413.132654000001</v>
      </c>
      <c r="C105">
        <v>157.111783</v>
      </c>
      <c r="D105">
        <v>-4822.089954</v>
      </c>
      <c r="E105">
        <v>5.4539879999999998</v>
      </c>
    </row>
    <row r="106" spans="1:5">
      <c r="A106" t="s">
        <v>9</v>
      </c>
      <c r="B106">
        <v>-8389.2795609999994</v>
      </c>
      <c r="C106">
        <v>-14430.505115</v>
      </c>
      <c r="D106">
        <v>-21215.850542</v>
      </c>
      <c r="E106">
        <v>7.8093750000000002</v>
      </c>
    </row>
    <row r="107" spans="1:5">
      <c r="A107" t="s">
        <v>10</v>
      </c>
      <c r="B107">
        <v>9150.3598829999992</v>
      </c>
      <c r="C107">
        <v>-14156.50887</v>
      </c>
      <c r="D107">
        <v>20255.615163999999</v>
      </c>
      <c r="E107">
        <v>-43.002200999999999</v>
      </c>
    </row>
    <row r="108" spans="1:5">
      <c r="A108" t="s">
        <v>11</v>
      </c>
      <c r="B108">
        <v>13996.136157000001</v>
      </c>
      <c r="C108">
        <v>13010.41887</v>
      </c>
      <c r="D108">
        <v>-18830.764397999999</v>
      </c>
      <c r="E108">
        <v>-63.890157000000002</v>
      </c>
    </row>
    <row r="109" spans="1:5">
      <c r="A109" t="s">
        <v>12</v>
      </c>
      <c r="B109">
        <v>-12053.559158</v>
      </c>
      <c r="C109">
        <v>-23761.567805999999</v>
      </c>
      <c r="D109">
        <v>367.94964700000003</v>
      </c>
      <c r="E109">
        <v>-112.99047899999999</v>
      </c>
    </row>
    <row r="110" spans="1:5">
      <c r="A110" t="s">
        <v>13</v>
      </c>
      <c r="B110">
        <v>12488.778646000001</v>
      </c>
      <c r="C110">
        <v>7393.8539840000003</v>
      </c>
      <c r="D110">
        <v>22105.533271</v>
      </c>
      <c r="E110">
        <v>304.21900399999998</v>
      </c>
    </row>
    <row r="111" spans="1:5">
      <c r="A111" t="s">
        <v>14</v>
      </c>
      <c r="B111">
        <v>-19473.299708999999</v>
      </c>
      <c r="C111">
        <v>11986.926217</v>
      </c>
      <c r="D111">
        <v>-13265.364164000001</v>
      </c>
      <c r="E111">
        <v>48.029060000000001</v>
      </c>
    </row>
    <row r="112" spans="1:5">
      <c r="A112" t="s">
        <v>15</v>
      </c>
      <c r="B112">
        <v>3369.7009560000001</v>
      </c>
      <c r="C112">
        <v>-22806.236835</v>
      </c>
      <c r="D112">
        <v>-13074.227892000001</v>
      </c>
      <c r="E112">
        <v>-269.62131900000003</v>
      </c>
    </row>
    <row r="113" spans="1:5">
      <c r="A113" t="s">
        <v>16</v>
      </c>
      <c r="B113">
        <v>-6047.8776440000001</v>
      </c>
      <c r="C113">
        <v>17487.802352999999</v>
      </c>
      <c r="D113">
        <v>18988.807971999999</v>
      </c>
      <c r="E113">
        <v>-73.593024999999997</v>
      </c>
    </row>
    <row r="114" spans="1:5">
      <c r="A114" t="s">
        <v>17</v>
      </c>
      <c r="B114">
        <v>19468.605972000001</v>
      </c>
      <c r="C114">
        <v>-10895.297611</v>
      </c>
      <c r="D114">
        <v>-14144.715092</v>
      </c>
      <c r="E114">
        <v>152.054655</v>
      </c>
    </row>
    <row r="115" spans="1:5">
      <c r="A115" t="s">
        <v>18</v>
      </c>
      <c r="B115">
        <v>-18100.237518000002</v>
      </c>
      <c r="C115">
        <v>-12528.430608999999</v>
      </c>
      <c r="D115">
        <v>-14856.694492000001</v>
      </c>
      <c r="E115">
        <v>69.601318000000006</v>
      </c>
    </row>
    <row r="116" spans="1:5">
      <c r="A116" t="s">
        <v>19</v>
      </c>
      <c r="B116">
        <v>-4131.3414149999999</v>
      </c>
      <c r="C116">
        <v>21843.413369000002</v>
      </c>
      <c r="D116">
        <v>-14266.003825</v>
      </c>
      <c r="E116">
        <v>-36.454762000000002</v>
      </c>
    </row>
    <row r="117" spans="1:5">
      <c r="A117" t="s">
        <v>20</v>
      </c>
      <c r="B117">
        <v>14086.060808</v>
      </c>
      <c r="C117">
        <v>22433.158287999999</v>
      </c>
      <c r="D117">
        <v>2150.0360930000002</v>
      </c>
      <c r="E117">
        <v>55.817588000000001</v>
      </c>
    </row>
    <row r="118" spans="1:5">
      <c r="A118" t="s">
        <v>21</v>
      </c>
      <c r="B118">
        <v>-26234.007509999999</v>
      </c>
      <c r="C118">
        <v>-4719.027548</v>
      </c>
      <c r="D118">
        <v>3975.2172</v>
      </c>
      <c r="E118">
        <v>-61.600681999999999</v>
      </c>
    </row>
    <row r="119" spans="1:5">
      <c r="A119" t="s">
        <v>22</v>
      </c>
      <c r="B119">
        <v>-16567.811317</v>
      </c>
      <c r="C119">
        <v>522.36257799999998</v>
      </c>
      <c r="D119">
        <v>-20607.178099000001</v>
      </c>
      <c r="E119">
        <v>171.60897</v>
      </c>
    </row>
    <row r="120" spans="1:5">
      <c r="A120" t="s">
        <v>23</v>
      </c>
      <c r="B120">
        <v>6779.6078390000002</v>
      </c>
      <c r="C120">
        <v>15317.460714999999</v>
      </c>
      <c r="D120">
        <v>20506.340036000001</v>
      </c>
      <c r="E120">
        <v>370.05516999999998</v>
      </c>
    </row>
    <row r="121" spans="1:5">
      <c r="A121" t="s">
        <v>24</v>
      </c>
      <c r="B121">
        <v>-25593.556912</v>
      </c>
      <c r="C121">
        <v>1833.7977069999999</v>
      </c>
      <c r="D121">
        <v>-6310.8942660000002</v>
      </c>
      <c r="E121">
        <v>289.21062899999998</v>
      </c>
    </row>
    <row r="122" spans="1:5">
      <c r="A122" t="s">
        <v>25</v>
      </c>
      <c r="B122">
        <v>-2920.8941399999999</v>
      </c>
      <c r="C122">
        <v>-17811.828484999998</v>
      </c>
      <c r="D122">
        <v>-19857.262965000002</v>
      </c>
      <c r="E122">
        <v>-54.776285999999999</v>
      </c>
    </row>
    <row r="123" spans="1:5">
      <c r="A123" t="s">
        <v>26</v>
      </c>
      <c r="B123">
        <v>-4956.404493</v>
      </c>
      <c r="C123">
        <v>-14265.817665</v>
      </c>
      <c r="D123">
        <v>-21188.653181999998</v>
      </c>
      <c r="E123">
        <v>153.88042899999999</v>
      </c>
    </row>
    <row r="124" spans="1:5">
      <c r="A124" t="s">
        <v>27</v>
      </c>
      <c r="B124">
        <v>16549.013045</v>
      </c>
      <c r="C124">
        <v>2826.271784</v>
      </c>
      <c r="D124">
        <v>-20177.381433999999</v>
      </c>
      <c r="E124">
        <v>-15.678302</v>
      </c>
    </row>
    <row r="125" spans="1:5">
      <c r="A125" t="s">
        <v>28</v>
      </c>
      <c r="B125">
        <v>-12944.997482000001</v>
      </c>
      <c r="C125">
        <v>-8128.2032589999999</v>
      </c>
      <c r="D125">
        <v>21816.192918000001</v>
      </c>
      <c r="E125">
        <v>121.406195</v>
      </c>
    </row>
    <row r="126" spans="1:5">
      <c r="A126" t="s">
        <v>29</v>
      </c>
      <c r="B126">
        <v>-17518.526844</v>
      </c>
      <c r="C126">
        <v>-17356.827776999999</v>
      </c>
      <c r="D126">
        <v>9540.3651169999994</v>
      </c>
      <c r="E126">
        <v>244.61659399999999</v>
      </c>
    </row>
    <row r="127" spans="1:5">
      <c r="A127" t="s">
        <v>30</v>
      </c>
      <c r="B127">
        <v>-21666.195878999999</v>
      </c>
      <c r="C127">
        <v>7913.0724550000004</v>
      </c>
      <c r="D127">
        <v>13530.927052999999</v>
      </c>
      <c r="E127">
        <v>-35.393593000000003</v>
      </c>
    </row>
    <row r="128" spans="1:5">
      <c r="A128" t="s">
        <v>31</v>
      </c>
      <c r="B128">
        <v>6995.2785160000003</v>
      </c>
      <c r="C128">
        <v>25387.583387999999</v>
      </c>
      <c r="D128">
        <v>-4315.4257710000002</v>
      </c>
      <c r="E128">
        <v>999999.99999899999</v>
      </c>
    </row>
    <row r="129" spans="1:5">
      <c r="A129" t="s">
        <v>0</v>
      </c>
      <c r="B129" t="s">
        <v>76</v>
      </c>
      <c r="C129">
        <v>0</v>
      </c>
    </row>
    <row r="130" spans="1:5">
      <c r="A130" t="s">
        <v>1</v>
      </c>
      <c r="B130">
        <v>-15714.737491</v>
      </c>
      <c r="C130">
        <v>2361.9881700000001</v>
      </c>
      <c r="D130">
        <v>21203.160423000001</v>
      </c>
      <c r="E130">
        <v>999999.99999899999</v>
      </c>
    </row>
    <row r="131" spans="1:5">
      <c r="A131" t="s">
        <v>2</v>
      </c>
      <c r="B131">
        <v>12520.368138</v>
      </c>
      <c r="C131">
        <v>-13943.645893999999</v>
      </c>
      <c r="D131">
        <v>18619.939347</v>
      </c>
      <c r="E131">
        <v>257.59865100000002</v>
      </c>
    </row>
    <row r="132" spans="1:5">
      <c r="A132" t="s">
        <v>3</v>
      </c>
      <c r="B132">
        <v>-9009.2960430000003</v>
      </c>
      <c r="C132">
        <v>24759.103795999999</v>
      </c>
      <c r="D132">
        <v>-1475.9380900000001</v>
      </c>
      <c r="E132">
        <v>557.86309500000004</v>
      </c>
    </row>
    <row r="133" spans="1:5">
      <c r="A133" t="s">
        <v>4</v>
      </c>
      <c r="B133">
        <v>24563.916284999999</v>
      </c>
      <c r="C133">
        <v>-6309.9632659999997</v>
      </c>
      <c r="D133">
        <v>8312.4327450000001</v>
      </c>
      <c r="E133">
        <v>86.617375999999993</v>
      </c>
    </row>
    <row r="134" spans="1:5">
      <c r="A134" t="s">
        <v>5</v>
      </c>
      <c r="B134">
        <v>2126.0617090000001</v>
      </c>
      <c r="C134">
        <v>-20039.722001999999</v>
      </c>
      <c r="D134">
        <v>17240.845889</v>
      </c>
      <c r="E134">
        <v>-3.7313580000000002</v>
      </c>
    </row>
    <row r="135" spans="1:5">
      <c r="A135" t="s">
        <v>6</v>
      </c>
      <c r="B135">
        <v>-13485.003471</v>
      </c>
      <c r="C135">
        <v>22651.341694999999</v>
      </c>
      <c r="D135">
        <v>2684.0449159999998</v>
      </c>
      <c r="E135">
        <v>633.38598500000001</v>
      </c>
    </row>
    <row r="136" spans="1:5">
      <c r="A136" t="s">
        <v>7</v>
      </c>
      <c r="B136">
        <v>23666.110788000002</v>
      </c>
      <c r="C136">
        <v>6762.7633809999998</v>
      </c>
      <c r="D136">
        <v>10186.810449000001</v>
      </c>
      <c r="E136">
        <v>-0.63838200000000001</v>
      </c>
    </row>
    <row r="137" spans="1:5">
      <c r="A137" t="s">
        <v>8</v>
      </c>
      <c r="B137">
        <v>26780.314068</v>
      </c>
      <c r="C137">
        <v>312.29014000000001</v>
      </c>
      <c r="D137">
        <v>-1968.91831</v>
      </c>
      <c r="E137">
        <v>5.4546770000000002</v>
      </c>
    </row>
    <row r="138" spans="1:5">
      <c r="A138" t="s">
        <v>9</v>
      </c>
      <c r="B138">
        <v>-6038.5424949999997</v>
      </c>
      <c r="C138">
        <v>-14488.889377</v>
      </c>
      <c r="D138">
        <v>-21977.547149999999</v>
      </c>
      <c r="E138">
        <v>7.8119620000000003</v>
      </c>
    </row>
    <row r="139" spans="1:5">
      <c r="A139" t="s">
        <v>10</v>
      </c>
      <c r="B139">
        <v>10345.785137999999</v>
      </c>
      <c r="C139">
        <v>-12061.18189</v>
      </c>
      <c r="D139">
        <v>21045.339441</v>
      </c>
      <c r="E139">
        <v>-43.001477999999999</v>
      </c>
    </row>
    <row r="140" spans="1:5">
      <c r="A140" t="s">
        <v>11</v>
      </c>
      <c r="B140">
        <v>11894.110205999999</v>
      </c>
      <c r="C140">
        <v>13612.849575</v>
      </c>
      <c r="D140">
        <v>-19804.634105000001</v>
      </c>
      <c r="E140">
        <v>-63.892558999999999</v>
      </c>
    </row>
    <row r="141" spans="1:5">
      <c r="A141" t="s">
        <v>12</v>
      </c>
      <c r="B141">
        <v>-11804.564915999999</v>
      </c>
      <c r="C141">
        <v>-23751.818744</v>
      </c>
      <c r="D141">
        <v>-2495.290485</v>
      </c>
      <c r="E141">
        <v>-112.98676399999999</v>
      </c>
    </row>
    <row r="142" spans="1:5">
      <c r="A142" t="s">
        <v>13</v>
      </c>
      <c r="B142">
        <v>11017.633545999999</v>
      </c>
      <c r="C142">
        <v>9478.4371229999997</v>
      </c>
      <c r="D142">
        <v>22089.590672999999</v>
      </c>
      <c r="E142">
        <v>304.21855199999999</v>
      </c>
    </row>
    <row r="143" spans="1:5">
      <c r="A143" t="s">
        <v>14</v>
      </c>
      <c r="B143">
        <v>-18668.376230999998</v>
      </c>
      <c r="C143">
        <v>10520.907927</v>
      </c>
      <c r="D143">
        <v>-15472.420050999999</v>
      </c>
      <c r="E143">
        <v>48.032991000000003</v>
      </c>
    </row>
    <row r="144" spans="1:5">
      <c r="A144" t="s">
        <v>15</v>
      </c>
      <c r="B144">
        <v>4264.6184620000004</v>
      </c>
      <c r="C144">
        <v>-23866.890068000001</v>
      </c>
      <c r="D144">
        <v>-10696.482402</v>
      </c>
      <c r="E144">
        <v>-269.61599000000001</v>
      </c>
    </row>
    <row r="145" spans="1:5">
      <c r="A145" t="s">
        <v>16</v>
      </c>
      <c r="B145">
        <v>-7173.0385249999999</v>
      </c>
      <c r="C145">
        <v>15544.034267999999</v>
      </c>
      <c r="D145">
        <v>20272.474051000001</v>
      </c>
      <c r="E145">
        <v>999999.99999899999</v>
      </c>
    </row>
    <row r="146" spans="1:5">
      <c r="A146" t="s">
        <v>17</v>
      </c>
      <c r="B146">
        <v>18690.101471999998</v>
      </c>
      <c r="C146">
        <v>-9303.8952399999998</v>
      </c>
      <c r="D146">
        <v>-16188.399821000001</v>
      </c>
      <c r="E146">
        <v>152.056613</v>
      </c>
    </row>
    <row r="147" spans="1:5">
      <c r="A147" t="s">
        <v>18</v>
      </c>
      <c r="B147">
        <v>-18641.736735999999</v>
      </c>
      <c r="C147">
        <v>-14062.918019000001</v>
      </c>
      <c r="D147">
        <v>-12732.823436999999</v>
      </c>
      <c r="E147">
        <v>69.603424000000004</v>
      </c>
    </row>
    <row r="148" spans="1:5">
      <c r="A148" t="s">
        <v>19</v>
      </c>
      <c r="B148">
        <v>-5204.7972550000004</v>
      </c>
      <c r="C148">
        <v>22942.234412000002</v>
      </c>
      <c r="D148">
        <v>-11988.287361000001</v>
      </c>
      <c r="E148">
        <v>-36.457369999999997</v>
      </c>
    </row>
    <row r="149" spans="1:5">
      <c r="A149" t="s">
        <v>20</v>
      </c>
      <c r="B149">
        <v>13863.642894000001</v>
      </c>
      <c r="C149">
        <v>22681.028472999998</v>
      </c>
      <c r="D149">
        <v>-654.09058400000004</v>
      </c>
      <c r="E149">
        <v>55.816589</v>
      </c>
    </row>
    <row r="150" spans="1:5">
      <c r="A150" t="s">
        <v>21</v>
      </c>
      <c r="B150">
        <v>-25662.58338</v>
      </c>
      <c r="C150">
        <v>-4971.812766</v>
      </c>
      <c r="D150">
        <v>6651.8742279999997</v>
      </c>
      <c r="E150">
        <v>-61.603464000000002</v>
      </c>
    </row>
    <row r="151" spans="1:5">
      <c r="A151" t="s">
        <v>22</v>
      </c>
      <c r="B151">
        <v>-17551.565449000002</v>
      </c>
      <c r="C151">
        <v>-1611.2949639999999</v>
      </c>
      <c r="D151">
        <v>-19732.816093000001</v>
      </c>
      <c r="E151">
        <v>171.608645</v>
      </c>
    </row>
    <row r="152" spans="1:5">
      <c r="A152" t="s">
        <v>23</v>
      </c>
      <c r="B152">
        <v>5481.9166150000001</v>
      </c>
      <c r="C152">
        <v>17209.664196999998</v>
      </c>
      <c r="D152">
        <v>19334.552984999998</v>
      </c>
      <c r="E152">
        <v>370.05383499999999</v>
      </c>
    </row>
    <row r="153" spans="1:5">
      <c r="A153" t="s">
        <v>24</v>
      </c>
      <c r="B153">
        <v>-26147.876378000001</v>
      </c>
      <c r="C153">
        <v>1493.720442</v>
      </c>
      <c r="D153">
        <v>-3540.1453470000001</v>
      </c>
      <c r="E153">
        <v>289.21212800000001</v>
      </c>
    </row>
    <row r="154" spans="1:5">
      <c r="A154" t="s">
        <v>25</v>
      </c>
      <c r="B154">
        <v>-1642.3874760000001</v>
      </c>
      <c r="C154">
        <v>-19468.896574999999</v>
      </c>
      <c r="D154">
        <v>-18310.136387999999</v>
      </c>
      <c r="E154">
        <v>-54.781243000000003</v>
      </c>
    </row>
    <row r="155" spans="1:5">
      <c r="A155" t="s">
        <v>26</v>
      </c>
      <c r="B155">
        <v>-2371.6564950000002</v>
      </c>
      <c r="C155">
        <v>-14370.998491</v>
      </c>
      <c r="D155">
        <v>-21536.675219000001</v>
      </c>
      <c r="E155">
        <v>153.88534100000001</v>
      </c>
    </row>
    <row r="156" spans="1:5">
      <c r="A156" t="s">
        <v>27</v>
      </c>
      <c r="B156">
        <v>17513.427070000002</v>
      </c>
      <c r="C156">
        <v>4943.1164939999999</v>
      </c>
      <c r="D156">
        <v>-18972.911631999999</v>
      </c>
      <c r="E156">
        <v>-15.677507</v>
      </c>
    </row>
    <row r="157" spans="1:5">
      <c r="A157" t="s">
        <v>28</v>
      </c>
      <c r="B157">
        <v>-11593.214667</v>
      </c>
      <c r="C157">
        <v>-10195.447265999999</v>
      </c>
      <c r="D157">
        <v>21711.153591999999</v>
      </c>
      <c r="E157">
        <v>121.40855500000001</v>
      </c>
    </row>
    <row r="158" spans="1:5">
      <c r="A158" t="s">
        <v>29</v>
      </c>
      <c r="B158">
        <v>-17816.982902</v>
      </c>
      <c r="C158">
        <v>-18333.284890999999</v>
      </c>
      <c r="D158">
        <v>6911.9628160000002</v>
      </c>
      <c r="E158">
        <v>244.619336</v>
      </c>
    </row>
    <row r="159" spans="1:5">
      <c r="A159" t="s">
        <v>30</v>
      </c>
      <c r="B159">
        <v>-23036.038895000002</v>
      </c>
      <c r="C159">
        <v>7722.9143610000001</v>
      </c>
      <c r="D159">
        <v>11145.059367</v>
      </c>
      <c r="E159">
        <v>-35.391759999999998</v>
      </c>
    </row>
    <row r="160" spans="1:5">
      <c r="A160" t="s">
        <v>31</v>
      </c>
      <c r="B160">
        <v>6508.1960939999999</v>
      </c>
      <c r="C160">
        <v>24855.547166</v>
      </c>
      <c r="D160">
        <v>-7050.009736</v>
      </c>
      <c r="E160">
        <v>999999.99999899999</v>
      </c>
    </row>
    <row r="161" spans="1:9">
      <c r="A161" t="s">
        <v>70</v>
      </c>
      <c r="B161">
        <v>-20638.736294999999</v>
      </c>
      <c r="C161">
        <v>2818.3900189999999</v>
      </c>
      <c r="D161">
        <v>-16372.975707</v>
      </c>
      <c r="E161">
        <v>-39.835000999999998</v>
      </c>
    </row>
    <row r="162" spans="1:9">
      <c r="A162" t="s">
        <v>71</v>
      </c>
      <c r="B162">
        <v>-10002.426310000001</v>
      </c>
      <c r="C162">
        <v>11761.498213000001</v>
      </c>
      <c r="D162">
        <v>-21233.096061</v>
      </c>
      <c r="E162">
        <v>42.105741999999999</v>
      </c>
    </row>
    <row r="163" spans="1:9">
      <c r="A163" t="s">
        <v>119</v>
      </c>
      <c r="B163">
        <v>2010</v>
      </c>
      <c r="C163">
        <v>5</v>
      </c>
      <c r="D163">
        <v>21</v>
      </c>
      <c r="E163">
        <v>10</v>
      </c>
      <c r="F163">
        <v>0</v>
      </c>
      <c r="G163">
        <v>0</v>
      </c>
    </row>
    <row r="164" spans="1:9">
      <c r="A164" t="s">
        <v>1</v>
      </c>
      <c r="B164">
        <v>-16958.084398999999</v>
      </c>
      <c r="C164">
        <v>311.97645199999999</v>
      </c>
      <c r="D164">
        <v>20375.650641</v>
      </c>
      <c r="E164">
        <v>999999.99999899999</v>
      </c>
    </row>
    <row r="165" spans="1:9">
      <c r="A165" t="s">
        <v>2</v>
      </c>
      <c r="B165">
        <v>14595.907209999999</v>
      </c>
      <c r="C165">
        <v>-13871.291803</v>
      </c>
      <c r="D165">
        <v>17059.878999</v>
      </c>
      <c r="E165">
        <v>257.60166299999997</v>
      </c>
      <c r="F165">
        <v>6</v>
      </c>
      <c r="G165">
        <v>6</v>
      </c>
      <c r="H165">
        <v>4</v>
      </c>
      <c r="I165">
        <v>115</v>
      </c>
    </row>
    <row r="166" spans="1:9">
      <c r="A166" t="s">
        <v>3</v>
      </c>
      <c r="B166">
        <v>-9353.8057379999991</v>
      </c>
      <c r="C166">
        <v>24598.285968</v>
      </c>
      <c r="D166">
        <v>1330.624519</v>
      </c>
      <c r="E166">
        <v>557.86628399999995</v>
      </c>
      <c r="F166">
        <v>4</v>
      </c>
      <c r="G166">
        <v>2</v>
      </c>
      <c r="H166">
        <v>5</v>
      </c>
      <c r="I166">
        <v>121</v>
      </c>
    </row>
    <row r="167" spans="1:9">
      <c r="A167" t="s">
        <v>4</v>
      </c>
      <c r="B167">
        <v>25389.672081000001</v>
      </c>
      <c r="C167">
        <v>-6068.869796</v>
      </c>
      <c r="D167">
        <v>5674.1757950000001</v>
      </c>
      <c r="E167">
        <v>86.624594999999999</v>
      </c>
      <c r="F167">
        <v>3</v>
      </c>
      <c r="G167">
        <v>6</v>
      </c>
      <c r="H167">
        <v>4</v>
      </c>
      <c r="I167">
        <v>124</v>
      </c>
    </row>
    <row r="168" spans="1:9">
      <c r="A168" t="s">
        <v>5</v>
      </c>
      <c r="B168">
        <v>3371.6743849999998</v>
      </c>
      <c r="C168">
        <v>-18379.421276000001</v>
      </c>
      <c r="D168">
        <v>18825.384743999999</v>
      </c>
      <c r="E168">
        <v>-3.7323279999999999</v>
      </c>
      <c r="F168">
        <v>5</v>
      </c>
      <c r="G168">
        <v>4</v>
      </c>
      <c r="H168">
        <v>3</v>
      </c>
      <c r="I168">
        <v>96</v>
      </c>
    </row>
    <row r="169" spans="1:9">
      <c r="A169" t="s">
        <v>6</v>
      </c>
      <c r="B169">
        <v>-13602.575616</v>
      </c>
      <c r="C169">
        <v>22103.935138000001</v>
      </c>
      <c r="D169">
        <v>5442.7537940000002</v>
      </c>
      <c r="E169">
        <v>633.37579900000003</v>
      </c>
      <c r="F169">
        <v>3</v>
      </c>
      <c r="G169">
        <v>2</v>
      </c>
      <c r="H169">
        <v>4</v>
      </c>
      <c r="I169">
        <v>115</v>
      </c>
    </row>
    <row r="170" spans="1:9">
      <c r="A170" t="s">
        <v>7</v>
      </c>
      <c r="B170">
        <v>22374.205844</v>
      </c>
      <c r="C170">
        <v>6996.56297</v>
      </c>
      <c r="D170">
        <v>12634.765455999999</v>
      </c>
      <c r="E170">
        <v>-0.63868400000000003</v>
      </c>
      <c r="F170">
        <v>8</v>
      </c>
      <c r="G170">
        <v>8</v>
      </c>
      <c r="H170">
        <v>6</v>
      </c>
      <c r="I170">
        <v>133</v>
      </c>
    </row>
    <row r="171" spans="1:9">
      <c r="A171" t="s">
        <v>8</v>
      </c>
      <c r="B171">
        <v>26834.504443999998</v>
      </c>
      <c r="C171">
        <v>435.90979800000002</v>
      </c>
      <c r="D171">
        <v>917.04506900000001</v>
      </c>
      <c r="E171">
        <v>5.4547879999999997</v>
      </c>
      <c r="F171">
        <v>8</v>
      </c>
      <c r="G171">
        <v>8</v>
      </c>
      <c r="H171">
        <v>10</v>
      </c>
      <c r="I171">
        <v>102</v>
      </c>
    </row>
    <row r="172" spans="1:9">
      <c r="A172" t="s">
        <v>9</v>
      </c>
      <c r="B172">
        <v>-3631.5353730000002</v>
      </c>
      <c r="C172">
        <v>-14684.867571000001</v>
      </c>
      <c r="D172">
        <v>-22379.516996999999</v>
      </c>
      <c r="E172">
        <v>7.8137189999999999</v>
      </c>
      <c r="F172">
        <v>10</v>
      </c>
      <c r="G172">
        <v>7</v>
      </c>
      <c r="H172">
        <v>8</v>
      </c>
      <c r="I172">
        <v>108</v>
      </c>
    </row>
    <row r="173" spans="1:9">
      <c r="A173" t="s">
        <v>10</v>
      </c>
      <c r="B173">
        <v>11678.68489</v>
      </c>
      <c r="C173">
        <v>-9971.6057299999993</v>
      </c>
      <c r="D173">
        <v>21465.104065</v>
      </c>
      <c r="E173">
        <v>-43.001916000000001</v>
      </c>
      <c r="F173">
        <v>7</v>
      </c>
      <c r="G173">
        <v>4</v>
      </c>
      <c r="H173">
        <v>4</v>
      </c>
      <c r="I173">
        <v>115</v>
      </c>
    </row>
    <row r="174" spans="1:9">
      <c r="A174" t="s">
        <v>11</v>
      </c>
      <c r="B174">
        <v>9730.5873670000001</v>
      </c>
      <c r="C174">
        <v>14326.241018000001</v>
      </c>
      <c r="D174">
        <v>-20447.277120999999</v>
      </c>
      <c r="E174">
        <v>-63.894404999999999</v>
      </c>
      <c r="F174">
        <v>7</v>
      </c>
      <c r="G174">
        <v>4</v>
      </c>
      <c r="H174">
        <v>5</v>
      </c>
      <c r="I174">
        <v>98</v>
      </c>
    </row>
    <row r="175" spans="1:9">
      <c r="A175" t="s">
        <v>12</v>
      </c>
      <c r="B175">
        <v>-11386.422993</v>
      </c>
      <c r="C175">
        <v>-23482.475538999999</v>
      </c>
      <c r="D175">
        <v>-5315.9643079999996</v>
      </c>
      <c r="E175">
        <v>-112.983233</v>
      </c>
      <c r="F175">
        <v>9</v>
      </c>
      <c r="G175">
        <v>7</v>
      </c>
      <c r="H175">
        <v>8</v>
      </c>
      <c r="I175">
        <v>113</v>
      </c>
    </row>
    <row r="176" spans="1:9">
      <c r="A176" t="s">
        <v>13</v>
      </c>
      <c r="B176">
        <v>9679.4839699999993</v>
      </c>
      <c r="C176">
        <v>11622.950413</v>
      </c>
      <c r="D176">
        <v>21688.463541000001</v>
      </c>
      <c r="E176">
        <v>304.21826700000003</v>
      </c>
      <c r="F176">
        <v>7</v>
      </c>
      <c r="G176">
        <v>4</v>
      </c>
      <c r="H176">
        <v>5</v>
      </c>
      <c r="I176">
        <v>106</v>
      </c>
    </row>
    <row r="177" spans="1:9">
      <c r="A177" t="s">
        <v>14</v>
      </c>
      <c r="B177">
        <v>-17826.309280000001</v>
      </c>
      <c r="C177">
        <v>8807.9665710000008</v>
      </c>
      <c r="D177">
        <v>-17409.290515000001</v>
      </c>
      <c r="E177">
        <v>48.036814999999997</v>
      </c>
      <c r="F177">
        <v>7</v>
      </c>
      <c r="G177">
        <v>7</v>
      </c>
      <c r="H177">
        <v>5</v>
      </c>
      <c r="I177">
        <v>98</v>
      </c>
    </row>
    <row r="178" spans="1:9">
      <c r="A178" t="s">
        <v>15</v>
      </c>
      <c r="B178">
        <v>4977.9925389999999</v>
      </c>
      <c r="C178">
        <v>-24721.839507000001</v>
      </c>
      <c r="D178">
        <v>-8133.386297</v>
      </c>
      <c r="E178">
        <v>-269.61067000000003</v>
      </c>
      <c r="F178">
        <v>8</v>
      </c>
      <c r="G178">
        <v>6</v>
      </c>
      <c r="H178">
        <v>8</v>
      </c>
      <c r="I178">
        <v>109</v>
      </c>
    </row>
    <row r="179" spans="1:9">
      <c r="A179" t="s">
        <v>16</v>
      </c>
      <c r="B179">
        <v>-8463.4545859999998</v>
      </c>
      <c r="C179">
        <v>13557.289328999999</v>
      </c>
      <c r="D179">
        <v>21206.275776999999</v>
      </c>
      <c r="E179">
        <v>999999.99999899999</v>
      </c>
    </row>
    <row r="180" spans="1:9">
      <c r="A180" t="s">
        <v>17</v>
      </c>
      <c r="B180">
        <v>17888.868095000002</v>
      </c>
      <c r="C180">
        <v>-7485.8021200000003</v>
      </c>
      <c r="D180">
        <v>-17949.014423000001</v>
      </c>
      <c r="E180">
        <v>152.058854</v>
      </c>
      <c r="F180">
        <v>8</v>
      </c>
      <c r="G180">
        <v>5</v>
      </c>
      <c r="H180">
        <v>8</v>
      </c>
      <c r="I180">
        <v>76</v>
      </c>
    </row>
    <row r="181" spans="1:9">
      <c r="A181" t="s">
        <v>18</v>
      </c>
      <c r="B181">
        <v>-19128.921136000001</v>
      </c>
      <c r="C181">
        <v>-15349.014775</v>
      </c>
      <c r="D181">
        <v>-10390.699516999999</v>
      </c>
      <c r="E181">
        <v>69.605559</v>
      </c>
      <c r="F181">
        <v>6</v>
      </c>
      <c r="G181">
        <v>8</v>
      </c>
      <c r="H181">
        <v>7</v>
      </c>
      <c r="I181">
        <v>79</v>
      </c>
    </row>
    <row r="182" spans="1:9">
      <c r="A182" t="s">
        <v>19</v>
      </c>
      <c r="B182">
        <v>-6076.4730120000004</v>
      </c>
      <c r="C182">
        <v>23865.215316999998</v>
      </c>
      <c r="D182">
        <v>-9500.5756010000005</v>
      </c>
      <c r="E182">
        <v>-36.459668000000001</v>
      </c>
      <c r="F182">
        <v>5</v>
      </c>
      <c r="G182">
        <v>5</v>
      </c>
      <c r="H182">
        <v>4</v>
      </c>
      <c r="I182">
        <v>105</v>
      </c>
    </row>
    <row r="183" spans="1:9">
      <c r="A183" t="s">
        <v>20</v>
      </c>
      <c r="B183">
        <v>13478.779968000001</v>
      </c>
      <c r="C183">
        <v>22676.866215999999</v>
      </c>
      <c r="D183">
        <v>-3447.0093529999999</v>
      </c>
      <c r="E183">
        <v>55.816141999999999</v>
      </c>
      <c r="F183">
        <v>7</v>
      </c>
      <c r="G183">
        <v>6</v>
      </c>
      <c r="H183">
        <v>5</v>
      </c>
      <c r="I183">
        <v>89</v>
      </c>
    </row>
    <row r="184" spans="1:9">
      <c r="A184" t="s">
        <v>21</v>
      </c>
      <c r="B184">
        <v>-24814.664276</v>
      </c>
      <c r="C184">
        <v>-5257.4692340000001</v>
      </c>
      <c r="D184">
        <v>9219.2192190000005</v>
      </c>
      <c r="E184">
        <v>-61.605393999999997</v>
      </c>
      <c r="F184">
        <v>8</v>
      </c>
      <c r="G184">
        <v>8</v>
      </c>
      <c r="H184">
        <v>8</v>
      </c>
      <c r="I184">
        <v>112</v>
      </c>
    </row>
    <row r="185" spans="1:9">
      <c r="A185" t="s">
        <v>22</v>
      </c>
      <c r="B185">
        <v>-18575.346199</v>
      </c>
      <c r="C185">
        <v>-3591.873458</v>
      </c>
      <c r="D185">
        <v>-18514.968387000001</v>
      </c>
      <c r="E185">
        <v>171.60724300000001</v>
      </c>
      <c r="F185">
        <v>8</v>
      </c>
      <c r="G185">
        <v>8</v>
      </c>
      <c r="H185">
        <v>6</v>
      </c>
      <c r="I185">
        <v>82</v>
      </c>
    </row>
    <row r="186" spans="1:9">
      <c r="A186" t="s">
        <v>23</v>
      </c>
      <c r="B186">
        <v>4356.6288139999997</v>
      </c>
      <c r="C186">
        <v>19035.213301</v>
      </c>
      <c r="D186">
        <v>17826.231236</v>
      </c>
      <c r="E186">
        <v>370.05280399999998</v>
      </c>
      <c r="F186">
        <v>7</v>
      </c>
      <c r="G186">
        <v>6</v>
      </c>
      <c r="H186">
        <v>5</v>
      </c>
      <c r="I186">
        <v>108</v>
      </c>
    </row>
    <row r="187" spans="1:9">
      <c r="A187" t="s">
        <v>24</v>
      </c>
      <c r="B187">
        <v>-26399.856497000001</v>
      </c>
      <c r="C187">
        <v>1186.9339970000001</v>
      </c>
      <c r="D187">
        <v>-707.54716800000006</v>
      </c>
      <c r="E187">
        <v>289.21635600000002</v>
      </c>
      <c r="F187">
        <v>4</v>
      </c>
      <c r="G187">
        <v>5</v>
      </c>
      <c r="H187">
        <v>6</v>
      </c>
      <c r="I187">
        <v>100</v>
      </c>
    </row>
    <row r="188" spans="1:9">
      <c r="A188" t="s">
        <v>25</v>
      </c>
      <c r="B188">
        <v>-555.394769</v>
      </c>
      <c r="C188">
        <v>-21037.780959</v>
      </c>
      <c r="D188">
        <v>-16455.520567</v>
      </c>
      <c r="E188">
        <v>-54.785899999999998</v>
      </c>
      <c r="F188">
        <v>8</v>
      </c>
      <c r="G188">
        <v>6</v>
      </c>
      <c r="H188">
        <v>7</v>
      </c>
      <c r="I188">
        <v>103</v>
      </c>
    </row>
    <row r="189" spans="1:9">
      <c r="A189" t="s">
        <v>26</v>
      </c>
      <c r="B189">
        <v>223.501183</v>
      </c>
      <c r="C189">
        <v>-14614.549069000001</v>
      </c>
      <c r="D189">
        <v>-21489.714019999999</v>
      </c>
      <c r="E189">
        <v>153.88875899999999</v>
      </c>
      <c r="F189">
        <v>10</v>
      </c>
      <c r="G189">
        <v>7</v>
      </c>
      <c r="H189">
        <v>7</v>
      </c>
      <c r="I189">
        <v>112</v>
      </c>
    </row>
    <row r="190" spans="1:9">
      <c r="A190" t="s">
        <v>27</v>
      </c>
      <c r="B190">
        <v>18507.479316000001</v>
      </c>
      <c r="C190">
        <v>6864.7357890000003</v>
      </c>
      <c r="D190">
        <v>-17431.771726999999</v>
      </c>
      <c r="E190">
        <v>-15.676617</v>
      </c>
      <c r="F190">
        <v>7</v>
      </c>
      <c r="G190">
        <v>8</v>
      </c>
      <c r="H190">
        <v>7</v>
      </c>
      <c r="I190">
        <v>105</v>
      </c>
    </row>
    <row r="191" spans="1:9">
      <c r="A191" t="s">
        <v>28</v>
      </c>
      <c r="B191">
        <v>-10367.690796999999</v>
      </c>
      <c r="C191">
        <v>-12301.882906000001</v>
      </c>
      <c r="D191">
        <v>21235.902705</v>
      </c>
      <c r="E191">
        <v>121.411371</v>
      </c>
      <c r="F191">
        <v>7</v>
      </c>
      <c r="G191">
        <v>6</v>
      </c>
      <c r="H191">
        <v>7</v>
      </c>
      <c r="I191">
        <v>126</v>
      </c>
    </row>
    <row r="192" spans="1:9">
      <c r="A192" t="s">
        <v>29</v>
      </c>
      <c r="B192">
        <v>-17992.889179000002</v>
      </c>
      <c r="C192">
        <v>-19038.758252</v>
      </c>
      <c r="D192">
        <v>4163.5129459999998</v>
      </c>
      <c r="E192">
        <v>244.623457</v>
      </c>
      <c r="F192">
        <v>5</v>
      </c>
      <c r="G192">
        <v>6</v>
      </c>
      <c r="H192">
        <v>6</v>
      </c>
      <c r="I192">
        <v>128</v>
      </c>
    </row>
    <row r="193" spans="1:9">
      <c r="A193" t="s">
        <v>30</v>
      </c>
      <c r="B193">
        <v>-24136.275739000001</v>
      </c>
      <c r="C193">
        <v>7597.7763219999997</v>
      </c>
      <c r="D193">
        <v>8571.0209309999991</v>
      </c>
      <c r="E193">
        <v>-35.390037</v>
      </c>
      <c r="F193">
        <v>6</v>
      </c>
      <c r="G193">
        <v>8</v>
      </c>
      <c r="H193">
        <v>7</v>
      </c>
      <c r="I193">
        <v>87</v>
      </c>
    </row>
    <row r="194" spans="1:9">
      <c r="A194" t="s">
        <v>31</v>
      </c>
      <c r="B194">
        <v>5852.1725269999997</v>
      </c>
      <c r="C194">
        <v>24081.233917000001</v>
      </c>
      <c r="D194">
        <v>-9664.3425530000004</v>
      </c>
      <c r="E194">
        <v>999999.99999899999</v>
      </c>
    </row>
    <row r="195" spans="1:9">
      <c r="A195" t="s">
        <v>119</v>
      </c>
      <c r="B195">
        <v>2010</v>
      </c>
      <c r="C195">
        <v>5</v>
      </c>
      <c r="D195">
        <v>21</v>
      </c>
      <c r="E195">
        <v>10</v>
      </c>
      <c r="F195">
        <v>15</v>
      </c>
      <c r="G195">
        <v>0</v>
      </c>
    </row>
    <row r="196" spans="1:9">
      <c r="A196" t="s">
        <v>1</v>
      </c>
      <c r="B196">
        <v>-18239.445856999999</v>
      </c>
      <c r="C196">
        <v>-1576.1772450000001</v>
      </c>
      <c r="D196">
        <v>19195.585080000001</v>
      </c>
      <c r="E196">
        <v>999999.99999899999</v>
      </c>
    </row>
    <row r="197" spans="1:9">
      <c r="A197" t="s">
        <v>2</v>
      </c>
      <c r="B197">
        <v>16482.366990999999</v>
      </c>
      <c r="C197">
        <v>-13875.410486000001</v>
      </c>
      <c r="D197">
        <v>15200.594458</v>
      </c>
      <c r="E197">
        <v>257.60466600000001</v>
      </c>
      <c r="F197">
        <v>7</v>
      </c>
      <c r="G197">
        <v>6</v>
      </c>
      <c r="H197">
        <v>4</v>
      </c>
      <c r="I197">
        <v>111</v>
      </c>
    </row>
    <row r="198" spans="1:9">
      <c r="A198" t="s">
        <v>3</v>
      </c>
      <c r="B198">
        <v>-9613.5705249999992</v>
      </c>
      <c r="C198">
        <v>24148.933002999998</v>
      </c>
      <c r="D198">
        <v>4113.7012199999999</v>
      </c>
      <c r="E198">
        <v>557.86982799999998</v>
      </c>
      <c r="F198">
        <v>4</v>
      </c>
      <c r="G198">
        <v>3</v>
      </c>
      <c r="H198">
        <v>5</v>
      </c>
      <c r="I198">
        <v>109</v>
      </c>
    </row>
    <row r="199" spans="1:9">
      <c r="A199" t="s">
        <v>4</v>
      </c>
      <c r="B199">
        <v>25925.507173000002</v>
      </c>
      <c r="C199">
        <v>-5840.5764250000002</v>
      </c>
      <c r="D199">
        <v>2939.9145010000002</v>
      </c>
      <c r="E199">
        <v>86.631845999999996</v>
      </c>
      <c r="F199">
        <v>2</v>
      </c>
      <c r="G199">
        <v>6</v>
      </c>
      <c r="H199">
        <v>4</v>
      </c>
      <c r="I199">
        <v>124</v>
      </c>
    </row>
    <row r="200" spans="1:9">
      <c r="A200" t="s">
        <v>5</v>
      </c>
      <c r="B200">
        <v>4795.8832359999997</v>
      </c>
      <c r="C200">
        <v>-16655.736022000001</v>
      </c>
      <c r="D200">
        <v>20084.686186999999</v>
      </c>
      <c r="E200">
        <v>-3.7334749999999999</v>
      </c>
      <c r="F200">
        <v>5</v>
      </c>
      <c r="G200">
        <v>4</v>
      </c>
      <c r="H200">
        <v>3</v>
      </c>
      <c r="I200">
        <v>73</v>
      </c>
    </row>
    <row r="201" spans="1:9">
      <c r="A201" t="s">
        <v>6</v>
      </c>
      <c r="B201">
        <v>-13633.387615</v>
      </c>
      <c r="C201">
        <v>21278.667415</v>
      </c>
      <c r="D201">
        <v>8107.3638030000002</v>
      </c>
      <c r="E201">
        <v>633.36532499999998</v>
      </c>
      <c r="F201">
        <v>3</v>
      </c>
      <c r="G201">
        <v>2</v>
      </c>
      <c r="H201">
        <v>4</v>
      </c>
      <c r="I201">
        <v>130</v>
      </c>
    </row>
    <row r="202" spans="1:9">
      <c r="A202" t="s">
        <v>7</v>
      </c>
      <c r="B202">
        <v>20833.164398000001</v>
      </c>
      <c r="C202">
        <v>7327.042297</v>
      </c>
      <c r="D202">
        <v>14866.987660999999</v>
      </c>
      <c r="E202">
        <v>-0.63900900000000005</v>
      </c>
      <c r="F202">
        <v>8</v>
      </c>
      <c r="G202">
        <v>8</v>
      </c>
      <c r="H202">
        <v>6</v>
      </c>
      <c r="I202">
        <v>129</v>
      </c>
    </row>
    <row r="203" spans="1:9">
      <c r="A203" t="s">
        <v>8</v>
      </c>
      <c r="B203">
        <v>26573.461864000001</v>
      </c>
      <c r="C203">
        <v>567.72706000000005</v>
      </c>
      <c r="D203">
        <v>3787.7325500000002</v>
      </c>
      <c r="E203">
        <v>5.4543270000000001</v>
      </c>
      <c r="F203">
        <v>8</v>
      </c>
      <c r="G203">
        <v>8</v>
      </c>
      <c r="H203">
        <v>9</v>
      </c>
      <c r="I203">
        <v>101</v>
      </c>
    </row>
    <row r="204" spans="1:9">
      <c r="A204" t="s">
        <v>9</v>
      </c>
      <c r="B204">
        <v>-1215.6102490000001</v>
      </c>
      <c r="C204">
        <v>-15020.491457</v>
      </c>
      <c r="D204">
        <v>-22415.387171999999</v>
      </c>
      <c r="E204">
        <v>7.8152090000000003</v>
      </c>
      <c r="F204">
        <v>10</v>
      </c>
      <c r="G204">
        <v>7</v>
      </c>
      <c r="H204">
        <v>8</v>
      </c>
      <c r="I204">
        <v>98</v>
      </c>
    </row>
    <row r="205" spans="1:9">
      <c r="A205" t="s">
        <v>10</v>
      </c>
      <c r="B205">
        <v>13128.141412999999</v>
      </c>
      <c r="C205">
        <v>-7932.7020119999997</v>
      </c>
      <c r="D205">
        <v>21508.472483000001</v>
      </c>
      <c r="E205">
        <v>-43.001674999999999</v>
      </c>
      <c r="F205">
        <v>8</v>
      </c>
      <c r="G205">
        <v>5</v>
      </c>
      <c r="H205">
        <v>5</v>
      </c>
      <c r="I205">
        <v>111</v>
      </c>
    </row>
    <row r="206" spans="1:9">
      <c r="A206" t="s">
        <v>11</v>
      </c>
      <c r="B206">
        <v>7546.4833660000004</v>
      </c>
      <c r="C206">
        <v>15146.620467000001</v>
      </c>
      <c r="D206">
        <v>-20747.249307999999</v>
      </c>
      <c r="E206">
        <v>-63.896756000000003</v>
      </c>
      <c r="F206">
        <v>7</v>
      </c>
      <c r="G206">
        <v>4</v>
      </c>
      <c r="H206">
        <v>5</v>
      </c>
      <c r="I206">
        <v>104</v>
      </c>
    </row>
    <row r="207" spans="1:9">
      <c r="A207" t="s">
        <v>12</v>
      </c>
      <c r="B207">
        <v>-10771.981514999999</v>
      </c>
      <c r="C207">
        <v>-22980.677101000001</v>
      </c>
      <c r="D207">
        <v>-8045.8865839999999</v>
      </c>
      <c r="E207">
        <v>-112.979406</v>
      </c>
      <c r="F207">
        <v>9</v>
      </c>
      <c r="G207">
        <v>7</v>
      </c>
      <c r="H207">
        <v>8</v>
      </c>
      <c r="I207">
        <v>103</v>
      </c>
    </row>
    <row r="208" spans="1:9">
      <c r="A208" t="s">
        <v>13</v>
      </c>
      <c r="B208">
        <v>8496.7078430000001</v>
      </c>
      <c r="C208">
        <v>13780.224419</v>
      </c>
      <c r="D208">
        <v>20909.138509</v>
      </c>
      <c r="E208">
        <v>304.21803599999998</v>
      </c>
      <c r="F208">
        <v>7</v>
      </c>
      <c r="G208">
        <v>3</v>
      </c>
      <c r="H208">
        <v>5</v>
      </c>
      <c r="I208">
        <v>107</v>
      </c>
    </row>
    <row r="209" spans="1:9">
      <c r="A209" t="s">
        <v>14</v>
      </c>
      <c r="B209">
        <v>-16989.224875</v>
      </c>
      <c r="C209">
        <v>6868.5217290000001</v>
      </c>
      <c r="D209">
        <v>-19042.069122000001</v>
      </c>
      <c r="E209">
        <v>48.040916000000003</v>
      </c>
      <c r="F209">
        <v>8</v>
      </c>
      <c r="G209">
        <v>7</v>
      </c>
      <c r="H209">
        <v>4</v>
      </c>
      <c r="I209">
        <v>88</v>
      </c>
    </row>
    <row r="210" spans="1:9">
      <c r="A210" t="s">
        <v>15</v>
      </c>
      <c r="B210">
        <v>5529.7530809999998</v>
      </c>
      <c r="C210">
        <v>-25337.245995000001</v>
      </c>
      <c r="D210">
        <v>-5429.3103579999997</v>
      </c>
      <c r="E210">
        <v>-269.60513600000002</v>
      </c>
      <c r="F210">
        <v>8</v>
      </c>
      <c r="G210">
        <v>5</v>
      </c>
      <c r="H210">
        <v>8</v>
      </c>
      <c r="I210">
        <v>108</v>
      </c>
    </row>
    <row r="211" spans="1:9">
      <c r="A211" t="s">
        <v>16</v>
      </c>
      <c r="B211">
        <v>-9905.2732919999999</v>
      </c>
      <c r="C211">
        <v>11574.711092</v>
      </c>
      <c r="D211">
        <v>21774.952427</v>
      </c>
      <c r="E211">
        <v>999999.99999899999</v>
      </c>
    </row>
    <row r="212" spans="1:9">
      <c r="A212" t="s">
        <v>17</v>
      </c>
      <c r="B212">
        <v>17103.92181</v>
      </c>
      <c r="C212">
        <v>-5464.6821120000004</v>
      </c>
      <c r="D212">
        <v>-19395.966950999999</v>
      </c>
      <c r="E212">
        <v>152.06104300000001</v>
      </c>
      <c r="F212">
        <v>8</v>
      </c>
      <c r="G212">
        <v>4</v>
      </c>
      <c r="H212">
        <v>8</v>
      </c>
      <c r="I212">
        <v>88</v>
      </c>
    </row>
    <row r="213" spans="1:9">
      <c r="A213" t="s">
        <v>18</v>
      </c>
      <c r="B213">
        <v>-19523.915907999999</v>
      </c>
      <c r="C213">
        <v>-16380.949904999999</v>
      </c>
      <c r="D213">
        <v>-7871.2328230000003</v>
      </c>
      <c r="E213">
        <v>69.607749999999996</v>
      </c>
      <c r="F213">
        <v>7</v>
      </c>
      <c r="G213">
        <v>8</v>
      </c>
      <c r="H213">
        <v>8</v>
      </c>
      <c r="I213">
        <v>75</v>
      </c>
    </row>
    <row r="214" spans="1:9">
      <c r="A214" t="s">
        <v>19</v>
      </c>
      <c r="B214">
        <v>-6760.358013</v>
      </c>
      <c r="C214">
        <v>24574.142016000002</v>
      </c>
      <c r="D214">
        <v>-6846.2877859999999</v>
      </c>
      <c r="E214">
        <v>-36.461953999999999</v>
      </c>
      <c r="F214">
        <v>5</v>
      </c>
      <c r="G214">
        <v>5</v>
      </c>
      <c r="H214">
        <v>4</v>
      </c>
      <c r="I214">
        <v>116</v>
      </c>
    </row>
    <row r="215" spans="1:9">
      <c r="A215" t="s">
        <v>20</v>
      </c>
      <c r="B215">
        <v>12905.221994</v>
      </c>
      <c r="C215">
        <v>22444.416022000001</v>
      </c>
      <c r="D215">
        <v>-6180.9052160000001</v>
      </c>
      <c r="E215">
        <v>55.815852999999997</v>
      </c>
      <c r="F215">
        <v>7</v>
      </c>
      <c r="G215">
        <v>5</v>
      </c>
      <c r="H215">
        <v>5</v>
      </c>
      <c r="I215">
        <v>76</v>
      </c>
    </row>
    <row r="216" spans="1:9">
      <c r="A216" t="s">
        <v>21</v>
      </c>
      <c r="B216">
        <v>-23707.710443</v>
      </c>
      <c r="C216">
        <v>-5607.8746549999996</v>
      </c>
      <c r="D216">
        <v>11635.324200999999</v>
      </c>
      <c r="E216">
        <v>-61.607982</v>
      </c>
      <c r="F216">
        <v>8</v>
      </c>
      <c r="G216">
        <v>8</v>
      </c>
      <c r="H216">
        <v>7</v>
      </c>
      <c r="I216">
        <v>115</v>
      </c>
    </row>
    <row r="217" spans="1:9">
      <c r="A217" t="s">
        <v>22</v>
      </c>
      <c r="B217">
        <v>-19604.177828</v>
      </c>
      <c r="C217">
        <v>-5390.5077769999998</v>
      </c>
      <c r="D217">
        <v>-16975.310711999999</v>
      </c>
      <c r="E217">
        <v>171.60605100000001</v>
      </c>
      <c r="F217">
        <v>8</v>
      </c>
      <c r="G217">
        <v>8</v>
      </c>
      <c r="H217">
        <v>7</v>
      </c>
      <c r="I217">
        <v>70</v>
      </c>
    </row>
    <row r="218" spans="1:9">
      <c r="A218" t="s">
        <v>23</v>
      </c>
      <c r="B218">
        <v>3406.471591</v>
      </c>
      <c r="C218">
        <v>20746.617459000001</v>
      </c>
      <c r="D218">
        <v>16006.984678999999</v>
      </c>
      <c r="E218">
        <v>370.05144999999999</v>
      </c>
      <c r="F218">
        <v>6</v>
      </c>
      <c r="G218">
        <v>6</v>
      </c>
      <c r="H218">
        <v>5</v>
      </c>
      <c r="I218">
        <v>109</v>
      </c>
    </row>
    <row r="219" spans="1:9">
      <c r="A219" t="s">
        <v>24</v>
      </c>
      <c r="B219">
        <v>-26344.542098000002</v>
      </c>
      <c r="C219">
        <v>877.43267200000003</v>
      </c>
      <c r="D219">
        <v>2137.4089100000001</v>
      </c>
      <c r="E219">
        <v>289.21937000000003</v>
      </c>
      <c r="F219">
        <v>4</v>
      </c>
      <c r="G219">
        <v>5</v>
      </c>
      <c r="H219">
        <v>6</v>
      </c>
      <c r="I219">
        <v>90</v>
      </c>
    </row>
    <row r="220" spans="1:9">
      <c r="A220" t="s">
        <v>25</v>
      </c>
      <c r="B220">
        <v>341.24025499999999</v>
      </c>
      <c r="C220">
        <v>-22471.27577</v>
      </c>
      <c r="D220">
        <v>-14322.637957000001</v>
      </c>
      <c r="E220">
        <v>-54.790801000000002</v>
      </c>
      <c r="F220">
        <v>8</v>
      </c>
      <c r="G220">
        <v>6</v>
      </c>
      <c r="H220">
        <v>7</v>
      </c>
      <c r="I220">
        <v>101</v>
      </c>
    </row>
    <row r="221" spans="1:9">
      <c r="A221" t="s">
        <v>26</v>
      </c>
      <c r="B221">
        <v>2774.7880489999998</v>
      </c>
      <c r="C221">
        <v>-14990.528285</v>
      </c>
      <c r="D221">
        <v>-21048.164076000001</v>
      </c>
      <c r="E221">
        <v>153.89221499999999</v>
      </c>
      <c r="F221">
        <v>10</v>
      </c>
      <c r="G221">
        <v>7</v>
      </c>
      <c r="H221">
        <v>7</v>
      </c>
      <c r="I221">
        <v>101</v>
      </c>
    </row>
    <row r="222" spans="1:9">
      <c r="A222" t="s">
        <v>27</v>
      </c>
      <c r="B222">
        <v>19492.059699000001</v>
      </c>
      <c r="C222">
        <v>8564.5585069999997</v>
      </c>
      <c r="D222">
        <v>-15582.882224000001</v>
      </c>
      <c r="E222">
        <v>-15.676067</v>
      </c>
      <c r="F222">
        <v>7</v>
      </c>
      <c r="G222">
        <v>8</v>
      </c>
      <c r="H222">
        <v>7</v>
      </c>
      <c r="I222">
        <v>93</v>
      </c>
    </row>
    <row r="223" spans="1:9">
      <c r="A223" t="s">
        <v>28</v>
      </c>
      <c r="B223">
        <v>-9286.3159400000004</v>
      </c>
      <c r="C223">
        <v>-14402.863409</v>
      </c>
      <c r="D223">
        <v>20398.588924</v>
      </c>
      <c r="E223">
        <v>121.413551</v>
      </c>
      <c r="F223">
        <v>7</v>
      </c>
      <c r="G223">
        <v>6</v>
      </c>
      <c r="H223">
        <v>7</v>
      </c>
      <c r="I223">
        <v>129</v>
      </c>
    </row>
    <row r="224" spans="1:9">
      <c r="A224" t="s">
        <v>29</v>
      </c>
      <c r="B224">
        <v>-18010.502702000002</v>
      </c>
      <c r="C224">
        <v>-19484.032102000001</v>
      </c>
      <c r="D224">
        <v>1343.0739639999999</v>
      </c>
      <c r="E224">
        <v>244.62748099999999</v>
      </c>
      <c r="F224">
        <v>5</v>
      </c>
      <c r="G224">
        <v>6</v>
      </c>
      <c r="H224">
        <v>6</v>
      </c>
      <c r="I224">
        <v>126</v>
      </c>
    </row>
    <row r="225" spans="1:9">
      <c r="A225" t="s">
        <v>30</v>
      </c>
      <c r="B225">
        <v>-24946.152547999998</v>
      </c>
      <c r="C225">
        <v>7502.2234179999996</v>
      </c>
      <c r="D225">
        <v>5852.0392819999997</v>
      </c>
      <c r="E225">
        <v>-35.388249000000002</v>
      </c>
      <c r="F225">
        <v>6</v>
      </c>
      <c r="G225">
        <v>8</v>
      </c>
      <c r="H225">
        <v>7</v>
      </c>
      <c r="I225">
        <v>94</v>
      </c>
    </row>
    <row r="226" spans="1:9">
      <c r="A226" t="s">
        <v>31</v>
      </c>
      <c r="B226">
        <v>5005.3300120000004</v>
      </c>
      <c r="C226">
        <v>23096.186448</v>
      </c>
      <c r="D226">
        <v>-12113.047876000001</v>
      </c>
      <c r="E226">
        <v>999999.99999899999</v>
      </c>
    </row>
    <row r="227" spans="1:9">
      <c r="A227" t="s">
        <v>119</v>
      </c>
      <c r="B227">
        <v>2010</v>
      </c>
      <c r="C227">
        <v>5</v>
      </c>
      <c r="D227">
        <v>21</v>
      </c>
      <c r="E227">
        <v>10</v>
      </c>
      <c r="F227">
        <v>30</v>
      </c>
      <c r="G227">
        <v>0</v>
      </c>
    </row>
    <row r="228" spans="1:9">
      <c r="A228" t="s">
        <v>1</v>
      </c>
      <c r="B228">
        <v>-19519.610022000001</v>
      </c>
      <c r="C228">
        <v>-3275.5119110000001</v>
      </c>
      <c r="D228">
        <v>17683.927842000001</v>
      </c>
      <c r="E228">
        <v>999999.99999899999</v>
      </c>
    </row>
    <row r="229" spans="1:9">
      <c r="A229" t="s">
        <v>2</v>
      </c>
      <c r="B229">
        <v>18145.728575000001</v>
      </c>
      <c r="C229">
        <v>-13928.197238999999</v>
      </c>
      <c r="D229">
        <v>13073.977073</v>
      </c>
      <c r="E229">
        <v>257.607778</v>
      </c>
      <c r="F229">
        <v>7</v>
      </c>
      <c r="G229">
        <v>6</v>
      </c>
      <c r="H229">
        <v>5</v>
      </c>
      <c r="I229">
        <v>117</v>
      </c>
    </row>
    <row r="230" spans="1:9">
      <c r="A230" t="s">
        <v>3</v>
      </c>
      <c r="B230">
        <v>-9822.6870400000007</v>
      </c>
      <c r="C230">
        <v>23406.467594000002</v>
      </c>
      <c r="D230">
        <v>6823.9580889999997</v>
      </c>
      <c r="E230">
        <v>557.87441000000001</v>
      </c>
      <c r="F230">
        <v>4</v>
      </c>
      <c r="G230">
        <v>3</v>
      </c>
      <c r="H230">
        <v>5</v>
      </c>
      <c r="I230">
        <v>120</v>
      </c>
    </row>
    <row r="231" spans="1:9">
      <c r="A231" t="s">
        <v>4</v>
      </c>
      <c r="B231">
        <v>26166.404735</v>
      </c>
      <c r="C231">
        <v>-5589.7822370000004</v>
      </c>
      <c r="D231">
        <v>156.030046</v>
      </c>
      <c r="E231">
        <v>86.638829000000001</v>
      </c>
      <c r="F231">
        <v>2</v>
      </c>
      <c r="G231">
        <v>6</v>
      </c>
      <c r="H231">
        <v>4</v>
      </c>
      <c r="I231">
        <v>111</v>
      </c>
    </row>
    <row r="232" spans="1:9">
      <c r="A232" t="s">
        <v>5</v>
      </c>
      <c r="B232">
        <v>6385.5883709999998</v>
      </c>
      <c r="C232">
        <v>-14913.838753</v>
      </c>
      <c r="D232">
        <v>20997.183304999999</v>
      </c>
      <c r="E232">
        <v>-3.7347959999999998</v>
      </c>
      <c r="F232">
        <v>4</v>
      </c>
      <c r="G232">
        <v>4</v>
      </c>
      <c r="H232">
        <v>3</v>
      </c>
      <c r="I232">
        <v>79</v>
      </c>
    </row>
    <row r="233" spans="1:9">
      <c r="A233" t="s">
        <v>6</v>
      </c>
      <c r="B233">
        <v>-13613.96695</v>
      </c>
      <c r="C233">
        <v>20178.173892999999</v>
      </c>
      <c r="D233">
        <v>10632.140195</v>
      </c>
      <c r="E233">
        <v>633.35493899999994</v>
      </c>
      <c r="F233">
        <v>2</v>
      </c>
      <c r="G233">
        <v>2</v>
      </c>
      <c r="H233">
        <v>4</v>
      </c>
      <c r="I233">
        <v>133</v>
      </c>
    </row>
    <row r="234" spans="1:9">
      <c r="A234" t="s">
        <v>7</v>
      </c>
      <c r="B234">
        <v>19076.798535000002</v>
      </c>
      <c r="C234">
        <v>7780.3823350000002</v>
      </c>
      <c r="D234">
        <v>16845.127</v>
      </c>
      <c r="E234">
        <v>-0.63919400000000004</v>
      </c>
      <c r="F234">
        <v>8</v>
      </c>
      <c r="G234">
        <v>7</v>
      </c>
      <c r="H234">
        <v>6</v>
      </c>
      <c r="I234">
        <v>133</v>
      </c>
    </row>
    <row r="235" spans="1:9">
      <c r="A235" t="s">
        <v>8</v>
      </c>
      <c r="B235">
        <v>26003.805906000001</v>
      </c>
      <c r="C235">
        <v>747.10366199999999</v>
      </c>
      <c r="D235">
        <v>6595.2891950000003</v>
      </c>
      <c r="E235">
        <v>5.4548500000000004</v>
      </c>
      <c r="F235">
        <v>8</v>
      </c>
      <c r="G235">
        <v>7</v>
      </c>
      <c r="H235">
        <v>9</v>
      </c>
      <c r="I235">
        <v>111</v>
      </c>
    </row>
    <row r="236" spans="1:9">
      <c r="A236" t="s">
        <v>9</v>
      </c>
      <c r="B236">
        <v>1162.097178</v>
      </c>
      <c r="C236">
        <v>-15489.714227</v>
      </c>
      <c r="D236">
        <v>-22084.470860000001</v>
      </c>
      <c r="E236">
        <v>7.8169149999999998</v>
      </c>
      <c r="F236">
        <v>10</v>
      </c>
      <c r="G236">
        <v>7</v>
      </c>
      <c r="H236">
        <v>8</v>
      </c>
      <c r="I236">
        <v>111</v>
      </c>
    </row>
    <row r="237" spans="1:9">
      <c r="A237" t="s">
        <v>10</v>
      </c>
      <c r="B237">
        <v>14666.244264999999</v>
      </c>
      <c r="C237">
        <v>-5985.3728119999996</v>
      </c>
      <c r="D237">
        <v>21175.743640000001</v>
      </c>
      <c r="E237">
        <v>-43.001792999999999</v>
      </c>
      <c r="F237">
        <v>8</v>
      </c>
      <c r="G237">
        <v>6</v>
      </c>
      <c r="H237">
        <v>5</v>
      </c>
      <c r="I237">
        <v>109</v>
      </c>
    </row>
    <row r="238" spans="1:9">
      <c r="A238" t="s">
        <v>11</v>
      </c>
      <c r="B238">
        <v>5382.0889470000002</v>
      </c>
      <c r="C238">
        <v>16063.174249</v>
      </c>
      <c r="D238">
        <v>-20698.658252000001</v>
      </c>
      <c r="E238">
        <v>-63.898676999999999</v>
      </c>
      <c r="F238">
        <v>8</v>
      </c>
      <c r="G238">
        <v>5</v>
      </c>
      <c r="H238">
        <v>4</v>
      </c>
      <c r="I238">
        <v>118</v>
      </c>
    </row>
    <row r="239" spans="1:9">
      <c r="A239" t="s">
        <v>12</v>
      </c>
      <c r="B239">
        <v>-9940.5554250000005</v>
      </c>
      <c r="C239">
        <v>-22279.637631000001</v>
      </c>
      <c r="D239">
        <v>-10638.327444</v>
      </c>
      <c r="E239">
        <v>-112.975387</v>
      </c>
      <c r="F239">
        <v>9</v>
      </c>
      <c r="G239">
        <v>7</v>
      </c>
      <c r="H239">
        <v>8</v>
      </c>
      <c r="I239">
        <v>104</v>
      </c>
    </row>
    <row r="240" spans="1:9">
      <c r="A240" t="s">
        <v>13</v>
      </c>
      <c r="B240">
        <v>7483.3081519999996</v>
      </c>
      <c r="C240">
        <v>15900.583257</v>
      </c>
      <c r="D240">
        <v>19765.279052999998</v>
      </c>
      <c r="E240">
        <v>304.21732600000001</v>
      </c>
      <c r="F240">
        <v>7</v>
      </c>
      <c r="G240">
        <v>3</v>
      </c>
      <c r="H240">
        <v>5</v>
      </c>
      <c r="I240">
        <v>121</v>
      </c>
    </row>
    <row r="241" spans="1:9">
      <c r="A241" t="s">
        <v>14</v>
      </c>
      <c r="B241">
        <v>-16196.034857000001</v>
      </c>
      <c r="C241">
        <v>4731.3547980000003</v>
      </c>
      <c r="D241">
        <v>-20342.22912</v>
      </c>
      <c r="E241">
        <v>48.045034000000001</v>
      </c>
      <c r="F241">
        <v>9</v>
      </c>
      <c r="G241">
        <v>7</v>
      </c>
      <c r="H241">
        <v>4</v>
      </c>
      <c r="I241">
        <v>102</v>
      </c>
    </row>
    <row r="242" spans="1:9">
      <c r="A242" t="s">
        <v>15</v>
      </c>
      <c r="B242">
        <v>5945.9858610000001</v>
      </c>
      <c r="C242">
        <v>-25685.471416</v>
      </c>
      <c r="D242">
        <v>-2631.1091999999999</v>
      </c>
      <c r="E242">
        <v>-269.599558</v>
      </c>
      <c r="F242">
        <v>9</v>
      </c>
      <c r="G242">
        <v>5</v>
      </c>
      <c r="H242">
        <v>8</v>
      </c>
      <c r="I242">
        <v>102</v>
      </c>
    </row>
    <row r="243" spans="1:9">
      <c r="A243" t="s">
        <v>16</v>
      </c>
      <c r="B243">
        <v>-11476.764053000001</v>
      </c>
      <c r="C243">
        <v>9640.8894509999991</v>
      </c>
      <c r="D243">
        <v>21969.589241000001</v>
      </c>
      <c r="E243">
        <v>999999.99999899999</v>
      </c>
    </row>
    <row r="244" spans="1:9">
      <c r="A244" t="s">
        <v>17</v>
      </c>
      <c r="B244">
        <v>16370.518830000001</v>
      </c>
      <c r="C244">
        <v>-3271.7429390000002</v>
      </c>
      <c r="D244">
        <v>-20504.269957</v>
      </c>
      <c r="E244">
        <v>152.06294600000001</v>
      </c>
      <c r="F244">
        <v>8</v>
      </c>
      <c r="G244">
        <v>4</v>
      </c>
      <c r="H244">
        <v>8</v>
      </c>
      <c r="I244">
        <v>62</v>
      </c>
    </row>
    <row r="245" spans="1:9">
      <c r="A245" t="s">
        <v>18</v>
      </c>
      <c r="B245">
        <v>-19789.819610999999</v>
      </c>
      <c r="C245">
        <v>-17161.240171000001</v>
      </c>
      <c r="D245">
        <v>-5217.9776229999998</v>
      </c>
      <c r="E245">
        <v>69.610000999999997</v>
      </c>
      <c r="F245">
        <v>7</v>
      </c>
      <c r="G245">
        <v>7</v>
      </c>
      <c r="H245">
        <v>8</v>
      </c>
      <c r="I245">
        <v>112</v>
      </c>
    </row>
    <row r="246" spans="1:9">
      <c r="A246" t="s">
        <v>19</v>
      </c>
      <c r="B246">
        <v>-7277.6209909999998</v>
      </c>
      <c r="C246">
        <v>25036.063654000001</v>
      </c>
      <c r="D246">
        <v>-4071.8879999999999</v>
      </c>
      <c r="E246">
        <v>-36.464677999999999</v>
      </c>
      <c r="F246">
        <v>5</v>
      </c>
      <c r="G246">
        <v>5</v>
      </c>
      <c r="H246">
        <v>4</v>
      </c>
      <c r="I246">
        <v>132</v>
      </c>
    </row>
    <row r="247" spans="1:9">
      <c r="A247" t="s">
        <v>20</v>
      </c>
      <c r="B247">
        <v>12122.611478000001</v>
      </c>
      <c r="C247">
        <v>22013.379997</v>
      </c>
      <c r="D247">
        <v>-8809.1142839999993</v>
      </c>
      <c r="E247">
        <v>55.815094000000002</v>
      </c>
      <c r="F247">
        <v>6</v>
      </c>
      <c r="G247">
        <v>5</v>
      </c>
      <c r="H247">
        <v>4</v>
      </c>
      <c r="I247">
        <v>67</v>
      </c>
    </row>
    <row r="248" spans="1:9">
      <c r="A248" t="s">
        <v>21</v>
      </c>
      <c r="B248">
        <v>-22365.912713999998</v>
      </c>
      <c r="C248">
        <v>-6051.330395</v>
      </c>
      <c r="D248">
        <v>13860.739981999999</v>
      </c>
      <c r="E248">
        <v>-61.610118999999997</v>
      </c>
      <c r="F248">
        <v>8</v>
      </c>
      <c r="G248">
        <v>7</v>
      </c>
      <c r="H248">
        <v>6</v>
      </c>
      <c r="I248">
        <v>106</v>
      </c>
    </row>
    <row r="249" spans="1:9">
      <c r="A249" t="s">
        <v>22</v>
      </c>
      <c r="B249">
        <v>-20599.814074000002</v>
      </c>
      <c r="C249">
        <v>-6985.6417380000003</v>
      </c>
      <c r="D249">
        <v>-15141.089561000001</v>
      </c>
      <c r="E249">
        <v>171.60470100000001</v>
      </c>
      <c r="F249">
        <v>8</v>
      </c>
      <c r="G249">
        <v>8</v>
      </c>
      <c r="H249">
        <v>7</v>
      </c>
      <c r="I249">
        <v>115</v>
      </c>
    </row>
    <row r="250" spans="1:9">
      <c r="A250" t="s">
        <v>23</v>
      </c>
      <c r="B250">
        <v>2625.821383</v>
      </c>
      <c r="C250">
        <v>22298.032689</v>
      </c>
      <c r="D250">
        <v>13908.029395</v>
      </c>
      <c r="E250">
        <v>370.050253</v>
      </c>
      <c r="F250">
        <v>5</v>
      </c>
      <c r="G250">
        <v>5</v>
      </c>
      <c r="H250">
        <v>5</v>
      </c>
      <c r="I250">
        <v>113</v>
      </c>
    </row>
    <row r="251" spans="1:9">
      <c r="A251" t="s">
        <v>24</v>
      </c>
      <c r="B251">
        <v>-25985.891184</v>
      </c>
      <c r="C251">
        <v>529.17636700000003</v>
      </c>
      <c r="D251">
        <v>4945.107129</v>
      </c>
      <c r="E251">
        <v>289.223838</v>
      </c>
      <c r="F251">
        <v>3</v>
      </c>
      <c r="G251">
        <v>5</v>
      </c>
      <c r="H251">
        <v>7</v>
      </c>
      <c r="I251">
        <v>108</v>
      </c>
    </row>
    <row r="252" spans="1:9">
      <c r="A252" t="s">
        <v>25</v>
      </c>
      <c r="B252">
        <v>1056.923648</v>
      </c>
      <c r="C252">
        <v>-23724.072914</v>
      </c>
      <c r="D252">
        <v>-11945.787036</v>
      </c>
      <c r="E252">
        <v>-54.795741999999997</v>
      </c>
      <c r="F252">
        <v>7</v>
      </c>
      <c r="G252">
        <v>5</v>
      </c>
      <c r="H252">
        <v>8</v>
      </c>
      <c r="I252">
        <v>107</v>
      </c>
    </row>
    <row r="253" spans="1:9">
      <c r="A253" t="s">
        <v>26</v>
      </c>
      <c r="B253">
        <v>5229.8327250000002</v>
      </c>
      <c r="C253">
        <v>-15484.428732</v>
      </c>
      <c r="D253">
        <v>-20220.124301</v>
      </c>
      <c r="E253">
        <v>153.89547099999999</v>
      </c>
      <c r="F253">
        <v>10</v>
      </c>
      <c r="G253">
        <v>7</v>
      </c>
      <c r="H253">
        <v>7</v>
      </c>
      <c r="I253">
        <v>100</v>
      </c>
    </row>
    <row r="254" spans="1:9">
      <c r="A254" t="s">
        <v>27</v>
      </c>
      <c r="B254">
        <v>20425.577405</v>
      </c>
      <c r="C254">
        <v>10024.671408</v>
      </c>
      <c r="D254">
        <v>-13460.398482000001</v>
      </c>
      <c r="E254">
        <v>-15.675325000000001</v>
      </c>
      <c r="F254">
        <v>7</v>
      </c>
      <c r="G254">
        <v>7</v>
      </c>
      <c r="H254">
        <v>7</v>
      </c>
      <c r="I254">
        <v>99</v>
      </c>
    </row>
    <row r="255" spans="1:9">
      <c r="A255" t="s">
        <v>28</v>
      </c>
      <c r="B255">
        <v>-8359.1220979999998</v>
      </c>
      <c r="C255">
        <v>-16451.945218000001</v>
      </c>
      <c r="D255">
        <v>19213.474526000002</v>
      </c>
      <c r="E255">
        <v>121.416134</v>
      </c>
      <c r="F255">
        <v>7</v>
      </c>
      <c r="G255">
        <v>6</v>
      </c>
      <c r="H255">
        <v>7</v>
      </c>
      <c r="I255">
        <v>135</v>
      </c>
    </row>
    <row r="256" spans="1:9">
      <c r="A256" t="s">
        <v>29</v>
      </c>
      <c r="B256">
        <v>-17838.105579999999</v>
      </c>
      <c r="C256">
        <v>-19687.814898000001</v>
      </c>
      <c r="D256">
        <v>-1500.504189</v>
      </c>
      <c r="E256">
        <v>244.631991</v>
      </c>
      <c r="F256">
        <v>5</v>
      </c>
      <c r="G256">
        <v>6</v>
      </c>
      <c r="H256">
        <v>6</v>
      </c>
      <c r="I256">
        <v>132</v>
      </c>
    </row>
    <row r="257" spans="1:9">
      <c r="A257" t="s">
        <v>30</v>
      </c>
      <c r="B257">
        <v>-25453.233708</v>
      </c>
      <c r="C257">
        <v>7398.2342650000001</v>
      </c>
      <c r="D257">
        <v>3033.9104560000001</v>
      </c>
      <c r="E257">
        <v>-35.386502</v>
      </c>
      <c r="F257">
        <v>7</v>
      </c>
      <c r="G257">
        <v>8</v>
      </c>
      <c r="H257">
        <v>7</v>
      </c>
      <c r="I257">
        <v>119</v>
      </c>
    </row>
    <row r="258" spans="1:9">
      <c r="A258" t="s">
        <v>31</v>
      </c>
      <c r="B258">
        <v>3952.8475509999998</v>
      </c>
      <c r="C258">
        <v>21937.170298000001</v>
      </c>
      <c r="D258">
        <v>-14353.14745</v>
      </c>
      <c r="E258">
        <v>999999.99999899999</v>
      </c>
    </row>
    <row r="259" spans="1:9">
      <c r="A259" t="s">
        <v>119</v>
      </c>
      <c r="B259">
        <v>2010</v>
      </c>
      <c r="C259">
        <v>5</v>
      </c>
      <c r="D259">
        <v>21</v>
      </c>
      <c r="E259">
        <v>10</v>
      </c>
      <c r="F259">
        <v>45</v>
      </c>
      <c r="G259">
        <v>0</v>
      </c>
    </row>
    <row r="260" spans="1:9">
      <c r="A260" t="s">
        <v>1</v>
      </c>
      <c r="B260">
        <v>-20756.455893999999</v>
      </c>
      <c r="C260">
        <v>-4766.9720820000002</v>
      </c>
      <c r="D260">
        <v>15867.318275</v>
      </c>
      <c r="E260">
        <v>999999.99999899999</v>
      </c>
    </row>
    <row r="261" spans="1:9">
      <c r="A261" t="s">
        <v>2</v>
      </c>
      <c r="B261">
        <v>19558.847073000001</v>
      </c>
      <c r="C261">
        <v>-13997.267523</v>
      </c>
      <c r="D261">
        <v>10716.893099999999</v>
      </c>
      <c r="E261">
        <v>257.61087800000001</v>
      </c>
      <c r="F261">
        <v>8</v>
      </c>
      <c r="G261">
        <v>5</v>
      </c>
      <c r="H261">
        <v>5</v>
      </c>
      <c r="I261">
        <v>117</v>
      </c>
    </row>
    <row r="262" spans="1:9">
      <c r="A262" t="s">
        <v>3</v>
      </c>
      <c r="B262">
        <v>-10016.008453</v>
      </c>
      <c r="C262">
        <v>22375.054611</v>
      </c>
      <c r="D262">
        <v>9413.0269850000004</v>
      </c>
      <c r="E262">
        <v>557.87920099999997</v>
      </c>
      <c r="F262">
        <v>5</v>
      </c>
      <c r="G262">
        <v>4</v>
      </c>
      <c r="H262">
        <v>5</v>
      </c>
      <c r="I262">
        <v>115</v>
      </c>
    </row>
    <row r="263" spans="1:9">
      <c r="A263" t="s">
        <v>4</v>
      </c>
      <c r="B263">
        <v>26115.579295</v>
      </c>
      <c r="C263">
        <v>-5281.2987949999997</v>
      </c>
      <c r="D263">
        <v>-2630.4970039999998</v>
      </c>
      <c r="E263">
        <v>86.645993000000004</v>
      </c>
      <c r="F263">
        <v>3</v>
      </c>
      <c r="G263">
        <v>6</v>
      </c>
      <c r="H263">
        <v>4</v>
      </c>
      <c r="I263">
        <v>124</v>
      </c>
    </row>
    <row r="264" spans="1:9">
      <c r="A264" t="s">
        <v>5</v>
      </c>
      <c r="B264">
        <v>8119.7703570000003</v>
      </c>
      <c r="C264">
        <v>-13196.877176</v>
      </c>
      <c r="D264">
        <v>21547.337329000002</v>
      </c>
      <c r="E264">
        <v>-3.7356880000000001</v>
      </c>
      <c r="F264">
        <v>3</v>
      </c>
      <c r="G264">
        <v>4</v>
      </c>
      <c r="H264">
        <v>4</v>
      </c>
      <c r="I264">
        <v>93</v>
      </c>
    </row>
    <row r="265" spans="1:9">
      <c r="A265" t="s">
        <v>6</v>
      </c>
      <c r="B265">
        <v>-13580.610328000001</v>
      </c>
      <c r="C265">
        <v>18813.376526</v>
      </c>
      <c r="D265">
        <v>12973.986086999999</v>
      </c>
      <c r="E265">
        <v>633.34491400000002</v>
      </c>
      <c r="F265">
        <v>2</v>
      </c>
      <c r="G265">
        <v>3</v>
      </c>
      <c r="H265">
        <v>3</v>
      </c>
      <c r="I265">
        <v>131</v>
      </c>
    </row>
    <row r="266" spans="1:9">
      <c r="A266" t="s">
        <v>7</v>
      </c>
      <c r="B266">
        <v>17144.71111</v>
      </c>
      <c r="C266">
        <v>8376.3370209999994</v>
      </c>
      <c r="D266">
        <v>18535.074778999999</v>
      </c>
      <c r="E266">
        <v>-0.63947100000000001</v>
      </c>
      <c r="F266">
        <v>8</v>
      </c>
      <c r="G266">
        <v>7</v>
      </c>
      <c r="H266">
        <v>6</v>
      </c>
      <c r="I266">
        <v>131</v>
      </c>
    </row>
    <row r="267" spans="1:9">
      <c r="A267" t="s">
        <v>8</v>
      </c>
      <c r="B267">
        <v>25140.796186</v>
      </c>
      <c r="C267">
        <v>1011.364551</v>
      </c>
      <c r="D267">
        <v>9292.7952170000008</v>
      </c>
      <c r="E267">
        <v>5.4541469999999999</v>
      </c>
      <c r="F267">
        <v>8</v>
      </c>
      <c r="G267">
        <v>7</v>
      </c>
      <c r="H267">
        <v>9</v>
      </c>
      <c r="I267">
        <v>103</v>
      </c>
    </row>
    <row r="268" spans="1:9">
      <c r="A268" t="s">
        <v>9</v>
      </c>
      <c r="B268">
        <v>3456.1904559999998</v>
      </c>
      <c r="C268">
        <v>-16078.577321999999</v>
      </c>
      <c r="D268">
        <v>-21391.783214999999</v>
      </c>
      <c r="E268">
        <v>7.8183389999999999</v>
      </c>
      <c r="F268">
        <v>10</v>
      </c>
      <c r="G268">
        <v>7</v>
      </c>
      <c r="H268">
        <v>8</v>
      </c>
      <c r="I268">
        <v>118</v>
      </c>
    </row>
    <row r="269" spans="1:9">
      <c r="A269" t="s">
        <v>10</v>
      </c>
      <c r="B269">
        <v>16259.105992000001</v>
      </c>
      <c r="C269">
        <v>-4165.0794429999996</v>
      </c>
      <c r="D269">
        <v>20473.872133000001</v>
      </c>
      <c r="E269">
        <v>-43.001922</v>
      </c>
      <c r="F269">
        <v>8</v>
      </c>
      <c r="G269">
        <v>7</v>
      </c>
      <c r="H269">
        <v>6</v>
      </c>
      <c r="I269">
        <v>99</v>
      </c>
    </row>
    <row r="270" spans="1:9">
      <c r="A270" t="s">
        <v>11</v>
      </c>
      <c r="B270">
        <v>3275.7390740000001</v>
      </c>
      <c r="C270">
        <v>17058.530658</v>
      </c>
      <c r="D270">
        <v>-20301.311013999999</v>
      </c>
      <c r="E270">
        <v>-63.900897999999998</v>
      </c>
      <c r="F270">
        <v>8</v>
      </c>
      <c r="G270">
        <v>5</v>
      </c>
      <c r="H270">
        <v>4</v>
      </c>
      <c r="I270">
        <v>106</v>
      </c>
    </row>
    <row r="271" spans="1:9">
      <c r="A271" t="s">
        <v>12</v>
      </c>
      <c r="B271">
        <v>-8878.9194889999999</v>
      </c>
      <c r="C271">
        <v>-21417.325397000001</v>
      </c>
      <c r="D271">
        <v>-13048.800082</v>
      </c>
      <c r="E271">
        <v>-112.971693</v>
      </c>
      <c r="F271">
        <v>9</v>
      </c>
      <c r="G271">
        <v>6</v>
      </c>
      <c r="H271">
        <v>8</v>
      </c>
      <c r="I271">
        <v>97</v>
      </c>
    </row>
    <row r="272" spans="1:9">
      <c r="A272" t="s">
        <v>13</v>
      </c>
      <c r="B272">
        <v>6644.5054769999997</v>
      </c>
      <c r="C272">
        <v>17933.649955000001</v>
      </c>
      <c r="D272">
        <v>18276.973252</v>
      </c>
      <c r="E272">
        <v>304.21713799999998</v>
      </c>
      <c r="F272">
        <v>6</v>
      </c>
      <c r="G272">
        <v>3</v>
      </c>
      <c r="H272">
        <v>5</v>
      </c>
      <c r="I272">
        <v>101</v>
      </c>
    </row>
    <row r="273" spans="1:9">
      <c r="A273" t="s">
        <v>14</v>
      </c>
      <c r="B273">
        <v>-15480.874258</v>
      </c>
      <c r="C273">
        <v>2432.678285</v>
      </c>
      <c r="D273">
        <v>-21287.143611</v>
      </c>
      <c r="E273">
        <v>48.048938999999997</v>
      </c>
      <c r="F273">
        <v>9</v>
      </c>
      <c r="G273">
        <v>7</v>
      </c>
      <c r="H273">
        <v>3</v>
      </c>
      <c r="I273">
        <v>97</v>
      </c>
    </row>
    <row r="274" spans="1:9">
      <c r="A274" t="s">
        <v>15</v>
      </c>
      <c r="B274">
        <v>6257.7103440000001</v>
      </c>
      <c r="C274">
        <v>-25746.176638000001</v>
      </c>
      <c r="D274">
        <v>212.708078</v>
      </c>
      <c r="E274">
        <v>-269.59422899999998</v>
      </c>
      <c r="F274">
        <v>9</v>
      </c>
      <c r="G274">
        <v>4</v>
      </c>
      <c r="H274">
        <v>8</v>
      </c>
      <c r="I274">
        <v>86</v>
      </c>
    </row>
    <row r="275" spans="1:9">
      <c r="A275" t="s">
        <v>16</v>
      </c>
      <c r="B275">
        <v>-13149.046265000001</v>
      </c>
      <c r="C275">
        <v>7796.2937810000003</v>
      </c>
      <c r="D275">
        <v>21787.710598000001</v>
      </c>
      <c r="E275">
        <v>-73.609782999999993</v>
      </c>
      <c r="F275">
        <v>10</v>
      </c>
      <c r="G275">
        <v>12</v>
      </c>
      <c r="H275">
        <v>7</v>
      </c>
      <c r="I275">
        <v>153</v>
      </c>
    </row>
    <row r="276" spans="1:9">
      <c r="A276" t="s">
        <v>17</v>
      </c>
      <c r="B276">
        <v>15718.752861999999</v>
      </c>
      <c r="C276">
        <v>-944.70090100000004</v>
      </c>
      <c r="D276">
        <v>-21254.975234000001</v>
      </c>
      <c r="E276">
        <v>152.06504200000001</v>
      </c>
      <c r="F276">
        <v>8</v>
      </c>
      <c r="G276">
        <v>4</v>
      </c>
      <c r="H276">
        <v>8</v>
      </c>
      <c r="I276">
        <v>75</v>
      </c>
    </row>
    <row r="277" spans="1:9">
      <c r="A277" t="s">
        <v>18</v>
      </c>
      <c r="B277">
        <v>-19892.192373999998</v>
      </c>
      <c r="C277">
        <v>-17700.349912999998</v>
      </c>
      <c r="D277">
        <v>-2476.3733779999998</v>
      </c>
      <c r="E277">
        <v>69.612021999999996</v>
      </c>
      <c r="F277">
        <v>7</v>
      </c>
      <c r="G277">
        <v>7</v>
      </c>
      <c r="H277">
        <v>8</v>
      </c>
      <c r="I277">
        <v>95</v>
      </c>
    </row>
    <row r="278" spans="1:9">
      <c r="A278" t="s">
        <v>19</v>
      </c>
      <c r="B278">
        <v>-7655.5690809999996</v>
      </c>
      <c r="C278">
        <v>25224.630023000002</v>
      </c>
      <c r="D278">
        <v>-1226.0299299999999</v>
      </c>
      <c r="E278">
        <v>-36.467126</v>
      </c>
      <c r="F278">
        <v>5</v>
      </c>
      <c r="G278">
        <v>5</v>
      </c>
      <c r="H278">
        <v>4</v>
      </c>
      <c r="I278">
        <v>130</v>
      </c>
    </row>
    <row r="279" spans="1:9">
      <c r="A279" t="s">
        <v>20</v>
      </c>
      <c r="B279">
        <v>11117.427989</v>
      </c>
      <c r="C279">
        <v>21418.174963000001</v>
      </c>
      <c r="D279">
        <v>-11286.900744</v>
      </c>
      <c r="E279">
        <v>55.814445999999997</v>
      </c>
      <c r="F279">
        <v>5</v>
      </c>
      <c r="G279">
        <v>4</v>
      </c>
      <c r="H279">
        <v>4</v>
      </c>
      <c r="I279">
        <v>81</v>
      </c>
    </row>
    <row r="280" spans="1:9">
      <c r="A280" t="s">
        <v>21</v>
      </c>
      <c r="B280">
        <v>-20819.376585999998</v>
      </c>
      <c r="C280">
        <v>-6611.3760329999996</v>
      </c>
      <c r="D280">
        <v>15859.038079</v>
      </c>
      <c r="E280">
        <v>-61.612526000000003</v>
      </c>
      <c r="F280">
        <v>7</v>
      </c>
      <c r="G280">
        <v>7</v>
      </c>
      <c r="H280">
        <v>6</v>
      </c>
      <c r="I280">
        <v>116</v>
      </c>
    </row>
    <row r="281" spans="1:9">
      <c r="A281" t="s">
        <v>22</v>
      </c>
      <c r="B281">
        <v>-21522.236746999999</v>
      </c>
      <c r="C281">
        <v>-8363.6369759999998</v>
      </c>
      <c r="D281">
        <v>-13044.601862</v>
      </c>
      <c r="E281">
        <v>171.60437999999999</v>
      </c>
      <c r="F281">
        <v>8</v>
      </c>
      <c r="G281">
        <v>8</v>
      </c>
      <c r="H281">
        <v>7</v>
      </c>
      <c r="I281">
        <v>87</v>
      </c>
    </row>
    <row r="282" spans="1:9">
      <c r="A282" t="s">
        <v>23</v>
      </c>
      <c r="B282">
        <v>2001.0815640000001</v>
      </c>
      <c r="C282">
        <v>23646.985977</v>
      </c>
      <c r="D282">
        <v>11565.658654999999</v>
      </c>
      <c r="E282">
        <v>370.04870299999999</v>
      </c>
      <c r="F282">
        <v>4</v>
      </c>
      <c r="G282">
        <v>5</v>
      </c>
      <c r="H282">
        <v>4</v>
      </c>
      <c r="I282">
        <v>108</v>
      </c>
    </row>
    <row r="283" spans="1:9">
      <c r="A283" t="s">
        <v>24</v>
      </c>
      <c r="B283">
        <v>-25336.592647000001</v>
      </c>
      <c r="C283">
        <v>107.718622</v>
      </c>
      <c r="D283">
        <v>7666.7112070000003</v>
      </c>
      <c r="E283">
        <v>289.22525000000002</v>
      </c>
      <c r="F283">
        <v>3</v>
      </c>
      <c r="G283">
        <v>6</v>
      </c>
      <c r="H283">
        <v>7</v>
      </c>
      <c r="I283">
        <v>101</v>
      </c>
    </row>
    <row r="284" spans="1:9">
      <c r="A284" t="s">
        <v>25</v>
      </c>
      <c r="B284">
        <v>1608.882973</v>
      </c>
      <c r="C284">
        <v>-24754.469689000001</v>
      </c>
      <c r="D284">
        <v>-9363.9241139999995</v>
      </c>
      <c r="E284">
        <v>-54.800707000000003</v>
      </c>
      <c r="F284">
        <v>7</v>
      </c>
      <c r="G284">
        <v>5</v>
      </c>
      <c r="H284">
        <v>8</v>
      </c>
      <c r="I284">
        <v>105</v>
      </c>
    </row>
    <row r="285" spans="1:9">
      <c r="A285" t="s">
        <v>26</v>
      </c>
      <c r="B285">
        <v>7540.1591150000004</v>
      </c>
      <c r="C285">
        <v>-16073.786473</v>
      </c>
      <c r="D285">
        <v>-19021.222043000002</v>
      </c>
      <c r="E285">
        <v>153.898145</v>
      </c>
      <c r="F285">
        <v>9</v>
      </c>
      <c r="G285">
        <v>7</v>
      </c>
      <c r="H285">
        <v>7</v>
      </c>
      <c r="I285">
        <v>117</v>
      </c>
    </row>
    <row r="286" spans="1:9">
      <c r="A286" t="s">
        <v>27</v>
      </c>
      <c r="B286">
        <v>21265.652964000001</v>
      </c>
      <c r="C286">
        <v>11236.222078999999</v>
      </c>
      <c r="D286">
        <v>-11102.960732</v>
      </c>
      <c r="E286">
        <v>-15.674446</v>
      </c>
      <c r="F286">
        <v>7</v>
      </c>
      <c r="G286">
        <v>7</v>
      </c>
      <c r="H286">
        <v>7</v>
      </c>
      <c r="I286">
        <v>74</v>
      </c>
    </row>
    <row r="287" spans="1:9">
      <c r="A287" t="s">
        <v>28</v>
      </c>
      <c r="B287">
        <v>-7588.0346970000001</v>
      </c>
      <c r="C287">
        <v>-18402.513321999999</v>
      </c>
      <c r="D287">
        <v>17700.700423999999</v>
      </c>
      <c r="E287">
        <v>121.41861900000001</v>
      </c>
      <c r="F287">
        <v>7</v>
      </c>
      <c r="G287">
        <v>6</v>
      </c>
      <c r="H287">
        <v>7</v>
      </c>
      <c r="I287">
        <v>134</v>
      </c>
    </row>
    <row r="288" spans="1:9">
      <c r="A288" t="s">
        <v>29</v>
      </c>
      <c r="B288">
        <v>-17449.327049</v>
      </c>
      <c r="C288">
        <v>-19675.791981999999</v>
      </c>
      <c r="D288">
        <v>-4318.4379259999996</v>
      </c>
      <c r="E288">
        <v>244.635006</v>
      </c>
      <c r="F288">
        <v>5</v>
      </c>
      <c r="G288">
        <v>6</v>
      </c>
      <c r="H288">
        <v>6</v>
      </c>
      <c r="I288">
        <v>119</v>
      </c>
    </row>
    <row r="289" spans="1:9">
      <c r="A289" t="s">
        <v>30</v>
      </c>
      <c r="B289">
        <v>-25653.823918999999</v>
      </c>
      <c r="C289">
        <v>7246.8075200000003</v>
      </c>
      <c r="D289">
        <v>164.27755999999999</v>
      </c>
      <c r="E289">
        <v>-35.384424000000003</v>
      </c>
      <c r="F289">
        <v>7</v>
      </c>
      <c r="G289">
        <v>8</v>
      </c>
      <c r="H289">
        <v>7</v>
      </c>
      <c r="I289">
        <v>108</v>
      </c>
    </row>
    <row r="290" spans="1:9">
      <c r="A290" t="s">
        <v>31</v>
      </c>
      <c r="B290">
        <v>2687.8089009999999</v>
      </c>
      <c r="C290">
        <v>20644.801325</v>
      </c>
      <c r="D290">
        <v>-16344.853241000001</v>
      </c>
      <c r="E290">
        <v>999999.99999899999</v>
      </c>
    </row>
    <row r="291" spans="1:9">
      <c r="A291" t="s">
        <v>119</v>
      </c>
      <c r="B291">
        <v>2010</v>
      </c>
      <c r="C291">
        <v>5</v>
      </c>
      <c r="D291">
        <v>21</v>
      </c>
      <c r="E291">
        <v>11</v>
      </c>
      <c r="F291">
        <v>0</v>
      </c>
      <c r="G291">
        <v>0</v>
      </c>
    </row>
    <row r="292" spans="1:9">
      <c r="A292" t="s">
        <v>1</v>
      </c>
      <c r="B292">
        <v>-21906.565480000001</v>
      </c>
      <c r="C292">
        <v>-6039.9183270000003</v>
      </c>
      <c r="D292">
        <v>13777.568691</v>
      </c>
      <c r="E292">
        <v>999999.99999899999</v>
      </c>
    </row>
    <row r="293" spans="1:9">
      <c r="A293" t="s">
        <v>2</v>
      </c>
      <c r="B293">
        <v>20702.400532</v>
      </c>
      <c r="C293">
        <v>-14047.062989</v>
      </c>
      <c r="D293">
        <v>8170.5329330000004</v>
      </c>
      <c r="E293">
        <v>257.61402500000003</v>
      </c>
      <c r="F293">
        <v>9</v>
      </c>
      <c r="G293">
        <v>5</v>
      </c>
      <c r="H293">
        <v>6</v>
      </c>
      <c r="I293">
        <v>112</v>
      </c>
    </row>
    <row r="294" spans="1:9">
      <c r="A294" t="s">
        <v>3</v>
      </c>
      <c r="B294">
        <v>-10227.550617000001</v>
      </c>
      <c r="C294">
        <v>21067.601589000002</v>
      </c>
      <c r="D294">
        <v>11834.459676</v>
      </c>
      <c r="E294">
        <v>557.88417800000002</v>
      </c>
      <c r="F294">
        <v>5</v>
      </c>
      <c r="G294">
        <v>4</v>
      </c>
      <c r="H294">
        <v>4</v>
      </c>
      <c r="I294">
        <v>125</v>
      </c>
    </row>
    <row r="295" spans="1:9">
      <c r="A295" t="s">
        <v>4</v>
      </c>
      <c r="B295">
        <v>25784.270737999999</v>
      </c>
      <c r="C295">
        <v>-4881.5580120000004</v>
      </c>
      <c r="D295">
        <v>-5372.8329290000001</v>
      </c>
      <c r="E295">
        <v>86.653156999999993</v>
      </c>
      <c r="F295">
        <v>3</v>
      </c>
      <c r="G295">
        <v>6</v>
      </c>
      <c r="H295">
        <v>5</v>
      </c>
      <c r="I295">
        <v>107</v>
      </c>
    </row>
    <row r="296" spans="1:9">
      <c r="A296" t="s">
        <v>5</v>
      </c>
      <c r="B296">
        <v>9970.1397300000008</v>
      </c>
      <c r="C296">
        <v>-11544.408465</v>
      </c>
      <c r="D296">
        <v>21725.893104999999</v>
      </c>
      <c r="E296">
        <v>-3.7369409999999998</v>
      </c>
      <c r="F296">
        <v>4</v>
      </c>
      <c r="G296">
        <v>4</v>
      </c>
      <c r="H296">
        <v>5</v>
      </c>
      <c r="I296">
        <v>87</v>
      </c>
    </row>
    <row r="297" spans="1:9">
      <c r="A297" t="s">
        <v>6</v>
      </c>
      <c r="B297">
        <v>-13567.831287000001</v>
      </c>
      <c r="C297">
        <v>17203.158855999998</v>
      </c>
      <c r="D297">
        <v>15093.158916</v>
      </c>
      <c r="E297">
        <v>633.33497899999998</v>
      </c>
      <c r="F297">
        <v>2</v>
      </c>
      <c r="G297">
        <v>3</v>
      </c>
      <c r="H297">
        <v>3</v>
      </c>
      <c r="I297">
        <v>126</v>
      </c>
    </row>
    <row r="298" spans="1:9">
      <c r="A298" t="s">
        <v>7</v>
      </c>
      <c r="B298">
        <v>15080.907848999999</v>
      </c>
      <c r="C298">
        <v>9127.3023819999999</v>
      </c>
      <c r="D298">
        <v>19907.554454000001</v>
      </c>
      <c r="E298">
        <v>-0.639849</v>
      </c>
      <c r="F298">
        <v>8</v>
      </c>
      <c r="G298">
        <v>7</v>
      </c>
      <c r="H298">
        <v>6</v>
      </c>
      <c r="I298">
        <v>134</v>
      </c>
    </row>
    <row r="299" spans="1:9">
      <c r="A299" t="s">
        <v>8</v>
      </c>
      <c r="B299">
        <v>24007.811008000001</v>
      </c>
      <c r="C299">
        <v>1394.22516</v>
      </c>
      <c r="D299">
        <v>11834.981661</v>
      </c>
      <c r="E299">
        <v>5.4544920000000001</v>
      </c>
      <c r="F299">
        <v>9</v>
      </c>
      <c r="G299">
        <v>6</v>
      </c>
      <c r="H299">
        <v>8</v>
      </c>
      <c r="I299">
        <v>119</v>
      </c>
    </row>
    <row r="300" spans="1:9">
      <c r="A300" t="s">
        <v>9</v>
      </c>
      <c r="B300">
        <v>5624.477312</v>
      </c>
      <c r="C300">
        <v>-16765.681802999999</v>
      </c>
      <c r="D300">
        <v>-20347.997468000001</v>
      </c>
      <c r="E300">
        <v>7.8198530000000002</v>
      </c>
      <c r="F300">
        <v>10</v>
      </c>
      <c r="G300">
        <v>7</v>
      </c>
      <c r="H300">
        <v>8</v>
      </c>
      <c r="I300">
        <v>105</v>
      </c>
    </row>
    <row r="301" spans="1:9">
      <c r="A301" t="s">
        <v>10</v>
      </c>
      <c r="B301">
        <v>17868.117343999998</v>
      </c>
      <c r="C301">
        <v>-2500.6597179999999</v>
      </c>
      <c r="D301">
        <v>19416.262123</v>
      </c>
      <c r="E301">
        <v>-43.002828999999998</v>
      </c>
      <c r="F301">
        <v>8</v>
      </c>
      <c r="G301">
        <v>8</v>
      </c>
      <c r="H301">
        <v>6</v>
      </c>
      <c r="I301">
        <v>112</v>
      </c>
    </row>
    <row r="302" spans="1:9">
      <c r="A302" t="s">
        <v>11</v>
      </c>
      <c r="B302">
        <v>1262.547859</v>
      </c>
      <c r="C302">
        <v>18109.298317000001</v>
      </c>
      <c r="D302">
        <v>-19560.784175000001</v>
      </c>
      <c r="E302">
        <v>-63.902965000000002</v>
      </c>
      <c r="F302">
        <v>8</v>
      </c>
      <c r="G302">
        <v>5</v>
      </c>
      <c r="H302">
        <v>4</v>
      </c>
      <c r="I302">
        <v>96</v>
      </c>
    </row>
    <row r="303" spans="1:9">
      <c r="A303" t="s">
        <v>12</v>
      </c>
      <c r="B303">
        <v>-7582.0240110000004</v>
      </c>
      <c r="C303">
        <v>-20434.968363</v>
      </c>
      <c r="D303">
        <v>-15235.817832999999</v>
      </c>
      <c r="E303">
        <v>-112.96785199999999</v>
      </c>
      <c r="F303">
        <v>8</v>
      </c>
      <c r="G303">
        <v>6</v>
      </c>
      <c r="H303">
        <v>8</v>
      </c>
      <c r="I303">
        <v>110</v>
      </c>
    </row>
    <row r="304" spans="1:9">
      <c r="A304" t="s">
        <v>13</v>
      </c>
      <c r="B304">
        <v>5976.6895459999996</v>
      </c>
      <c r="C304">
        <v>19830.187451000002</v>
      </c>
      <c r="D304">
        <v>16470.360540999998</v>
      </c>
      <c r="E304">
        <v>304.21697599999999</v>
      </c>
      <c r="F304">
        <v>5</v>
      </c>
      <c r="G304">
        <v>4</v>
      </c>
      <c r="H304">
        <v>5</v>
      </c>
      <c r="I304">
        <v>98</v>
      </c>
    </row>
    <row r="305" spans="1:9">
      <c r="A305" t="s">
        <v>14</v>
      </c>
      <c r="B305">
        <v>-14871.743625999999</v>
      </c>
      <c r="C305">
        <v>14.910154</v>
      </c>
      <c r="D305">
        <v>-21860.491739000001</v>
      </c>
      <c r="E305">
        <v>48.052556000000003</v>
      </c>
      <c r="F305">
        <v>9</v>
      </c>
      <c r="G305">
        <v>7</v>
      </c>
      <c r="H305">
        <v>3</v>
      </c>
      <c r="I305">
        <v>98</v>
      </c>
    </row>
    <row r="306" spans="1:9">
      <c r="A306" t="s">
        <v>15</v>
      </c>
      <c r="B306">
        <v>6499.4644699999999</v>
      </c>
      <c r="C306">
        <v>-25507.146107</v>
      </c>
      <c r="D306">
        <v>3052.8383570000001</v>
      </c>
      <c r="E306">
        <v>-269.58900399999999</v>
      </c>
      <c r="F306">
        <v>8</v>
      </c>
      <c r="G306">
        <v>4</v>
      </c>
      <c r="H306">
        <v>8</v>
      </c>
      <c r="I306">
        <v>101</v>
      </c>
    </row>
    <row r="307" spans="1:9">
      <c r="A307" t="s">
        <v>16</v>
      </c>
      <c r="B307">
        <v>-14887.095307</v>
      </c>
      <c r="C307">
        <v>6075.8854330000004</v>
      </c>
      <c r="D307">
        <v>21233.26297</v>
      </c>
      <c r="E307">
        <v>-73.613026000000005</v>
      </c>
      <c r="F307">
        <v>10</v>
      </c>
      <c r="G307">
        <v>12</v>
      </c>
      <c r="H307">
        <v>7</v>
      </c>
      <c r="I307">
        <v>141</v>
      </c>
    </row>
    <row r="308" spans="1:9">
      <c r="A308" t="s">
        <v>17</v>
      </c>
      <c r="B308">
        <v>15172.376601</v>
      </c>
      <c r="C308">
        <v>1473.50919</v>
      </c>
      <c r="D308">
        <v>-21635.489807999998</v>
      </c>
      <c r="E308">
        <v>152.06697600000001</v>
      </c>
      <c r="F308">
        <v>8</v>
      </c>
      <c r="G308">
        <v>5</v>
      </c>
      <c r="H308">
        <v>7</v>
      </c>
      <c r="I308">
        <v>61</v>
      </c>
    </row>
    <row r="309" spans="1:9">
      <c r="A309" t="s">
        <v>18</v>
      </c>
      <c r="B309">
        <v>-19800.442921999998</v>
      </c>
      <c r="C309">
        <v>-18016.066145000001</v>
      </c>
      <c r="D309">
        <v>307.019025</v>
      </c>
      <c r="E309">
        <v>69.613926000000006</v>
      </c>
      <c r="F309">
        <v>7</v>
      </c>
      <c r="G309">
        <v>6</v>
      </c>
      <c r="H309">
        <v>7</v>
      </c>
      <c r="I309">
        <v>107</v>
      </c>
    </row>
    <row r="310" spans="1:9">
      <c r="A310" t="s">
        <v>19</v>
      </c>
      <c r="B310">
        <v>-7926.3590359999998</v>
      </c>
      <c r="C310">
        <v>25121.177790000002</v>
      </c>
      <c r="D310">
        <v>1641.3451560000001</v>
      </c>
      <c r="E310">
        <v>-36.469579000000003</v>
      </c>
      <c r="F310">
        <v>4</v>
      </c>
      <c r="G310">
        <v>4</v>
      </c>
      <c r="H310">
        <v>4</v>
      </c>
      <c r="I310">
        <v>129</v>
      </c>
    </row>
    <row r="311" spans="1:9">
      <c r="A311" t="s">
        <v>20</v>
      </c>
      <c r="B311">
        <v>9883.6732250000005</v>
      </c>
      <c r="C311">
        <v>20696.528533000001</v>
      </c>
      <c r="D311">
        <v>-13572.193176999999</v>
      </c>
      <c r="E311">
        <v>55.813639000000002</v>
      </c>
      <c r="F311">
        <v>5</v>
      </c>
      <c r="G311">
        <v>4</v>
      </c>
      <c r="H311">
        <v>4</v>
      </c>
      <c r="I311">
        <v>76</v>
      </c>
    </row>
    <row r="312" spans="1:9">
      <c r="A312" t="s">
        <v>21</v>
      </c>
      <c r="B312">
        <v>-19103.114188</v>
      </c>
      <c r="C312">
        <v>-7305.7759560000004</v>
      </c>
      <c r="D312">
        <v>17597.317053999999</v>
      </c>
      <c r="E312">
        <v>-61.615141999999999</v>
      </c>
      <c r="F312">
        <v>6</v>
      </c>
      <c r="G312">
        <v>7</v>
      </c>
      <c r="H312">
        <v>5</v>
      </c>
      <c r="I312">
        <v>110</v>
      </c>
    </row>
    <row r="313" spans="1:9">
      <c r="A313" t="s">
        <v>22</v>
      </c>
      <c r="B313">
        <v>-22331.228997999999</v>
      </c>
      <c r="C313">
        <v>-9519.0678360000002</v>
      </c>
      <c r="D313">
        <v>-10722.589217999999</v>
      </c>
      <c r="E313">
        <v>171.60336000000001</v>
      </c>
      <c r="F313">
        <v>8</v>
      </c>
      <c r="G313">
        <v>8</v>
      </c>
      <c r="H313">
        <v>7</v>
      </c>
      <c r="I313">
        <v>86</v>
      </c>
    </row>
    <row r="314" spans="1:9">
      <c r="A314" t="s">
        <v>23</v>
      </c>
      <c r="B314">
        <v>1511.387913</v>
      </c>
      <c r="C314">
        <v>24755.987155999999</v>
      </c>
      <c r="D314">
        <v>9020.6077249999998</v>
      </c>
      <c r="E314">
        <v>370.04742499999998</v>
      </c>
      <c r="F314">
        <v>3</v>
      </c>
      <c r="G314">
        <v>5</v>
      </c>
      <c r="H314">
        <v>4</v>
      </c>
      <c r="I314">
        <v>112</v>
      </c>
    </row>
    <row r="315" spans="1:9">
      <c r="A315" t="s">
        <v>24</v>
      </c>
      <c r="B315">
        <v>-24417.550481999999</v>
      </c>
      <c r="C315">
        <v>-418.235727</v>
      </c>
      <c r="D315">
        <v>10255.044691999999</v>
      </c>
      <c r="E315">
        <v>289.228071</v>
      </c>
      <c r="F315">
        <v>4</v>
      </c>
      <c r="G315">
        <v>6</v>
      </c>
      <c r="H315">
        <v>7</v>
      </c>
      <c r="I315">
        <v>71</v>
      </c>
    </row>
    <row r="316" spans="1:9">
      <c r="A316" t="s">
        <v>25</v>
      </c>
      <c r="B316">
        <v>2021.425244</v>
      </c>
      <c r="C316">
        <v>-25525.995417999999</v>
      </c>
      <c r="D316">
        <v>-6620.1384859999998</v>
      </c>
      <c r="E316">
        <v>-54.805573000000003</v>
      </c>
      <c r="F316">
        <v>6</v>
      </c>
      <c r="G316">
        <v>5</v>
      </c>
      <c r="H316">
        <v>8</v>
      </c>
      <c r="I316">
        <v>103</v>
      </c>
    </row>
    <row r="317" spans="1:9">
      <c r="A317" t="s">
        <v>26</v>
      </c>
      <c r="B317">
        <v>9662.9955329999993</v>
      </c>
      <c r="C317">
        <v>-16729.158245999999</v>
      </c>
      <c r="D317">
        <v>-17474.240432999999</v>
      </c>
      <c r="E317">
        <v>153.89980700000001</v>
      </c>
      <c r="F317">
        <v>8</v>
      </c>
      <c r="G317">
        <v>7</v>
      </c>
      <c r="H317">
        <v>7</v>
      </c>
      <c r="I317">
        <v>96</v>
      </c>
    </row>
    <row r="318" spans="1:9">
      <c r="A318" t="s">
        <v>27</v>
      </c>
      <c r="B318">
        <v>21970.823280000001</v>
      </c>
      <c r="C318">
        <v>12199.453403</v>
      </c>
      <c r="D318">
        <v>-8552.8857669999998</v>
      </c>
      <c r="E318">
        <v>-15.674067000000001</v>
      </c>
      <c r="F318">
        <v>7</v>
      </c>
      <c r="G318">
        <v>7</v>
      </c>
      <c r="H318">
        <v>7</v>
      </c>
      <c r="I318">
        <v>110</v>
      </c>
    </row>
    <row r="319" spans="1:9">
      <c r="A319" t="s">
        <v>28</v>
      </c>
      <c r="B319">
        <v>-6966.9400320000004</v>
      </c>
      <c r="C319">
        <v>-20209.423085999999</v>
      </c>
      <c r="D319">
        <v>15885.957332</v>
      </c>
      <c r="E319">
        <v>121.42096100000001</v>
      </c>
      <c r="F319">
        <v>7</v>
      </c>
      <c r="G319">
        <v>7</v>
      </c>
      <c r="H319">
        <v>7</v>
      </c>
      <c r="I319">
        <v>131</v>
      </c>
    </row>
    <row r="320" spans="1:9">
      <c r="A320" t="s">
        <v>29</v>
      </c>
      <c r="B320">
        <v>-16824.248543999998</v>
      </c>
      <c r="C320">
        <v>-19479.435825</v>
      </c>
      <c r="D320">
        <v>-7062.8349200000002</v>
      </c>
      <c r="E320">
        <v>244.63716299999999</v>
      </c>
      <c r="F320">
        <v>6</v>
      </c>
      <c r="G320">
        <v>6</v>
      </c>
      <c r="H320">
        <v>6</v>
      </c>
      <c r="I320">
        <v>112</v>
      </c>
    </row>
    <row r="321" spans="1:9">
      <c r="A321" t="s">
        <v>30</v>
      </c>
      <c r="B321">
        <v>-25553.077260999999</v>
      </c>
      <c r="C321">
        <v>7009.6215890000003</v>
      </c>
      <c r="D321">
        <v>-2708.1315749999999</v>
      </c>
      <c r="E321">
        <v>-35.382505000000002</v>
      </c>
      <c r="F321">
        <v>8</v>
      </c>
      <c r="G321">
        <v>8</v>
      </c>
      <c r="H321">
        <v>7</v>
      </c>
      <c r="I321">
        <v>50</v>
      </c>
    </row>
    <row r="322" spans="1:9">
      <c r="A322" t="s">
        <v>31</v>
      </c>
      <c r="B322">
        <v>1211.756361</v>
      </c>
      <c r="C322">
        <v>19262.013744</v>
      </c>
      <c r="D322">
        <v>-18052.332947999999</v>
      </c>
      <c r="E322">
        <v>999999.99999899999</v>
      </c>
    </row>
    <row r="323" spans="1:9">
      <c r="A323" t="s">
        <v>119</v>
      </c>
      <c r="B323">
        <v>2010</v>
      </c>
      <c r="C323">
        <v>5</v>
      </c>
      <c r="D323">
        <v>21</v>
      </c>
      <c r="E323">
        <v>11</v>
      </c>
      <c r="F323">
        <v>15</v>
      </c>
      <c r="G323">
        <v>0</v>
      </c>
    </row>
    <row r="324" spans="1:9">
      <c r="A324" t="s">
        <v>1</v>
      </c>
      <c r="B324">
        <v>-22926.890085999999</v>
      </c>
      <c r="C324">
        <v>-7092.3070729999999</v>
      </c>
      <c r="D324">
        <v>11451.078047000001</v>
      </c>
      <c r="E324">
        <v>999999.99999899999</v>
      </c>
    </row>
    <row r="325" spans="1:9">
      <c r="A325" t="s">
        <v>2</v>
      </c>
      <c r="B325">
        <v>21565.534524999999</v>
      </c>
      <c r="C325">
        <v>-14040.408536999999</v>
      </c>
      <c r="D325">
        <v>5479.6597389999997</v>
      </c>
      <c r="E325">
        <v>257.617434</v>
      </c>
      <c r="F325">
        <v>9</v>
      </c>
      <c r="G325">
        <v>6</v>
      </c>
      <c r="H325">
        <v>6</v>
      </c>
      <c r="I325">
        <v>113</v>
      </c>
    </row>
    <row r="326" spans="1:9">
      <c r="A326" t="s">
        <v>3</v>
      </c>
      <c r="B326">
        <v>-10488.923102000001</v>
      </c>
      <c r="C326">
        <v>19505.406928</v>
      </c>
      <c r="D326">
        <v>14044.662152999999</v>
      </c>
      <c r="E326">
        <v>557.88893700000006</v>
      </c>
      <c r="F326">
        <v>5</v>
      </c>
      <c r="G326">
        <v>4</v>
      </c>
      <c r="H326">
        <v>3</v>
      </c>
      <c r="I326">
        <v>132</v>
      </c>
    </row>
    <row r="327" spans="1:9">
      <c r="A327" t="s">
        <v>4</v>
      </c>
      <c r="B327">
        <v>25191.257776999999</v>
      </c>
      <c r="C327">
        <v>-4360.0527389999997</v>
      </c>
      <c r="D327">
        <v>-8025.022387</v>
      </c>
      <c r="E327">
        <v>86.660720999999995</v>
      </c>
      <c r="F327">
        <v>4</v>
      </c>
      <c r="G327">
        <v>6</v>
      </c>
      <c r="H327">
        <v>5</v>
      </c>
      <c r="I327">
        <v>116</v>
      </c>
    </row>
    <row r="328" spans="1:9">
      <c r="A328" t="s">
        <v>5</v>
      </c>
      <c r="B328">
        <v>11902.074734</v>
      </c>
      <c r="C328">
        <v>-9990.9876110000005</v>
      </c>
      <c r="D328">
        <v>21530.023337999999</v>
      </c>
      <c r="E328">
        <v>-3.7381479999999998</v>
      </c>
      <c r="F328">
        <v>5</v>
      </c>
      <c r="G328">
        <v>4</v>
      </c>
      <c r="H328">
        <v>5</v>
      </c>
      <c r="I328">
        <v>101</v>
      </c>
    </row>
    <row r="329" spans="1:9">
      <c r="A329" t="s">
        <v>6</v>
      </c>
      <c r="B329">
        <v>-13606.899165000001</v>
      </c>
      <c r="C329">
        <v>15373.746766</v>
      </c>
      <c r="D329">
        <v>16953.915008</v>
      </c>
      <c r="E329">
        <v>633.32452999999998</v>
      </c>
      <c r="F329">
        <v>2</v>
      </c>
      <c r="G329">
        <v>4</v>
      </c>
      <c r="H329">
        <v>2</v>
      </c>
      <c r="I329">
        <v>127</v>
      </c>
    </row>
    <row r="330" spans="1:9">
      <c r="A330" t="s">
        <v>7</v>
      </c>
      <c r="B330">
        <v>12932.246639000001</v>
      </c>
      <c r="C330">
        <v>10037.671340999999</v>
      </c>
      <c r="D330">
        <v>20938.637742999999</v>
      </c>
      <c r="E330">
        <v>-0.639988</v>
      </c>
      <c r="F330">
        <v>8</v>
      </c>
      <c r="G330">
        <v>6</v>
      </c>
      <c r="H330">
        <v>5</v>
      </c>
      <c r="I330">
        <v>130</v>
      </c>
    </row>
    <row r="331" spans="1:9">
      <c r="A331" t="s">
        <v>8</v>
      </c>
      <c r="B331">
        <v>22635.542090999999</v>
      </c>
      <c r="C331">
        <v>1924.343402</v>
      </c>
      <c r="D331">
        <v>14178.932734</v>
      </c>
      <c r="E331">
        <v>5.4552370000000003</v>
      </c>
      <c r="F331">
        <v>9</v>
      </c>
      <c r="G331">
        <v>5</v>
      </c>
      <c r="H331">
        <v>8</v>
      </c>
      <c r="I331">
        <v>113</v>
      </c>
    </row>
    <row r="332" spans="1:9">
      <c r="A332" t="s">
        <v>9</v>
      </c>
      <c r="B332">
        <v>7629.3301449999999</v>
      </c>
      <c r="C332">
        <v>-17522.931166999999</v>
      </c>
      <c r="D332">
        <v>-18969.339685999999</v>
      </c>
      <c r="E332">
        <v>7.8211830000000004</v>
      </c>
      <c r="F332">
        <v>9</v>
      </c>
      <c r="G332">
        <v>7</v>
      </c>
      <c r="H332">
        <v>8</v>
      </c>
      <c r="I332">
        <v>119</v>
      </c>
    </row>
    <row r="333" spans="1:9">
      <c r="A333" t="s">
        <v>10</v>
      </c>
      <c r="B333">
        <v>19451.387796999999</v>
      </c>
      <c r="C333">
        <v>-1013.426522</v>
      </c>
      <c r="D333">
        <v>18022.444807</v>
      </c>
      <c r="E333">
        <v>-43.003318999999998</v>
      </c>
      <c r="F333">
        <v>8</v>
      </c>
      <c r="G333">
        <v>8</v>
      </c>
      <c r="H333">
        <v>6</v>
      </c>
      <c r="I333">
        <v>104</v>
      </c>
    </row>
    <row r="334" spans="1:9">
      <c r="A334" t="s">
        <v>11</v>
      </c>
      <c r="B334">
        <v>-626.74527999999998</v>
      </c>
      <c r="C334">
        <v>19186.845364000001</v>
      </c>
      <c r="D334">
        <v>-18488.410969</v>
      </c>
      <c r="E334">
        <v>-63.905037999999998</v>
      </c>
      <c r="F334">
        <v>8</v>
      </c>
      <c r="G334">
        <v>5</v>
      </c>
      <c r="H334">
        <v>3</v>
      </c>
      <c r="I334">
        <v>95</v>
      </c>
    </row>
    <row r="335" spans="1:9">
      <c r="A335" t="s">
        <v>12</v>
      </c>
      <c r="B335">
        <v>-6053.4037980000003</v>
      </c>
      <c r="C335">
        <v>-19375.442510000001</v>
      </c>
      <c r="D335">
        <v>-17161.608203</v>
      </c>
      <c r="E335">
        <v>-112.964006</v>
      </c>
      <c r="F335">
        <v>8</v>
      </c>
      <c r="G335">
        <v>7</v>
      </c>
      <c r="H335">
        <v>7</v>
      </c>
      <c r="I335">
        <v>108</v>
      </c>
    </row>
    <row r="336" spans="1:9">
      <c r="A336" t="s">
        <v>13</v>
      </c>
      <c r="B336">
        <v>5467.7302840000002</v>
      </c>
      <c r="C336">
        <v>21543.901357999999</v>
      </c>
      <c r="D336">
        <v>14377.145716000001</v>
      </c>
      <c r="E336">
        <v>304.216748</v>
      </c>
      <c r="F336">
        <v>4</v>
      </c>
      <c r="G336">
        <v>5</v>
      </c>
      <c r="H336">
        <v>5</v>
      </c>
      <c r="I336">
        <v>88</v>
      </c>
    </row>
    <row r="337" spans="1:9">
      <c r="A337" t="s">
        <v>14</v>
      </c>
      <c r="B337">
        <v>-14389.41142</v>
      </c>
      <c r="C337">
        <v>-2474.7973160000001</v>
      </c>
      <c r="D337">
        <v>-22052.542893000002</v>
      </c>
      <c r="E337">
        <v>48.056626000000001</v>
      </c>
      <c r="F337">
        <v>10</v>
      </c>
      <c r="G337">
        <v>7</v>
      </c>
      <c r="H337">
        <v>3</v>
      </c>
      <c r="I337">
        <v>91</v>
      </c>
    </row>
    <row r="338" spans="1:9">
      <c r="A338" t="s">
        <v>15</v>
      </c>
      <c r="B338">
        <v>6707.7535360000002</v>
      </c>
      <c r="C338">
        <v>-24964.806057999998</v>
      </c>
      <c r="D338">
        <v>5840.0593929999995</v>
      </c>
      <c r="E338">
        <v>-269.58351800000003</v>
      </c>
      <c r="F338">
        <v>8</v>
      </c>
      <c r="G338">
        <v>4</v>
      </c>
      <c r="H338">
        <v>8</v>
      </c>
      <c r="I338">
        <v>102</v>
      </c>
    </row>
    <row r="339" spans="1:9">
      <c r="A339" t="s">
        <v>16</v>
      </c>
      <c r="B339">
        <v>-16650.985322</v>
      </c>
      <c r="C339">
        <v>4507.959245</v>
      </c>
      <c r="D339">
        <v>20316.491973</v>
      </c>
      <c r="E339">
        <v>-73.616687999999996</v>
      </c>
      <c r="F339">
        <v>9</v>
      </c>
      <c r="G339">
        <v>11</v>
      </c>
      <c r="H339">
        <v>8</v>
      </c>
      <c r="I339">
        <v>139</v>
      </c>
    </row>
    <row r="340" spans="1:9">
      <c r="A340" t="s">
        <v>17</v>
      </c>
      <c r="B340">
        <v>14747.893786000001</v>
      </c>
      <c r="C340">
        <v>3936.2258919999999</v>
      </c>
      <c r="D340">
        <v>-21639.768714999998</v>
      </c>
      <c r="E340">
        <v>152.06937300000001</v>
      </c>
      <c r="F340">
        <v>8</v>
      </c>
      <c r="G340">
        <v>5</v>
      </c>
      <c r="H340">
        <v>7</v>
      </c>
      <c r="I340">
        <v>68</v>
      </c>
    </row>
    <row r="341" spans="1:9">
      <c r="A341" t="s">
        <v>18</v>
      </c>
      <c r="B341">
        <v>-19489.06581</v>
      </c>
      <c r="C341">
        <v>-18132.618458000001</v>
      </c>
      <c r="D341">
        <v>3085.2744109999999</v>
      </c>
      <c r="E341">
        <v>69.615882999999997</v>
      </c>
      <c r="F341">
        <v>7</v>
      </c>
      <c r="G341">
        <v>5</v>
      </c>
      <c r="H341">
        <v>8</v>
      </c>
      <c r="I341">
        <v>113</v>
      </c>
    </row>
    <row r="342" spans="1:9">
      <c r="A342" t="s">
        <v>19</v>
      </c>
      <c r="B342">
        <v>-8125.514776</v>
      </c>
      <c r="C342">
        <v>24715.519745000001</v>
      </c>
      <c r="D342">
        <v>4479.9369509999997</v>
      </c>
      <c r="E342">
        <v>-36.471919</v>
      </c>
      <c r="F342">
        <v>4</v>
      </c>
      <c r="G342">
        <v>5</v>
      </c>
      <c r="H342">
        <v>4</v>
      </c>
      <c r="I342">
        <v>134</v>
      </c>
    </row>
    <row r="343" spans="1:9">
      <c r="A343" t="s">
        <v>20</v>
      </c>
      <c r="B343">
        <v>8423.2721820000006</v>
      </c>
      <c r="C343">
        <v>19887.968455999999</v>
      </c>
      <c r="D343">
        <v>-15626.269818999999</v>
      </c>
      <c r="E343">
        <v>55.812848000000002</v>
      </c>
      <c r="F343">
        <v>5</v>
      </c>
      <c r="G343">
        <v>3</v>
      </c>
      <c r="H343">
        <v>3</v>
      </c>
      <c r="I343">
        <v>80</v>
      </c>
    </row>
    <row r="344" spans="1:9">
      <c r="A344" t="s">
        <v>21</v>
      </c>
      <c r="B344">
        <v>-17255.876359999998</v>
      </c>
      <c r="C344">
        <v>-8145.7105499999998</v>
      </c>
      <c r="D344">
        <v>19046.671720999999</v>
      </c>
      <c r="E344">
        <v>-61.617230999999997</v>
      </c>
      <c r="F344">
        <v>5</v>
      </c>
      <c r="G344">
        <v>8</v>
      </c>
      <c r="H344">
        <v>5</v>
      </c>
      <c r="I344">
        <v>117</v>
      </c>
    </row>
    <row r="345" spans="1:9">
      <c r="A345" t="s">
        <v>22</v>
      </c>
      <c r="B345">
        <v>-22987.960283</v>
      </c>
      <c r="C345">
        <v>-10454.694594000001</v>
      </c>
      <c r="D345">
        <v>-8215.5605340000002</v>
      </c>
      <c r="E345">
        <v>171.60259300000001</v>
      </c>
      <c r="F345">
        <v>9</v>
      </c>
      <c r="G345">
        <v>7</v>
      </c>
      <c r="H345">
        <v>7</v>
      </c>
      <c r="I345">
        <v>76</v>
      </c>
    </row>
    <row r="346" spans="1:9">
      <c r="A346" t="s">
        <v>23</v>
      </c>
      <c r="B346">
        <v>1129.614967</v>
      </c>
      <c r="C346">
        <v>25593.961050999998</v>
      </c>
      <c r="D346">
        <v>6317.3239030000004</v>
      </c>
      <c r="E346">
        <v>370.04623800000002</v>
      </c>
      <c r="F346">
        <v>4</v>
      </c>
      <c r="G346">
        <v>5</v>
      </c>
      <c r="H346">
        <v>4</v>
      </c>
      <c r="I346">
        <v>112</v>
      </c>
    </row>
    <row r="347" spans="1:9">
      <c r="A347" t="s">
        <v>24</v>
      </c>
      <c r="B347">
        <v>-23257.057969000001</v>
      </c>
      <c r="C347">
        <v>-1075.4067809999999</v>
      </c>
      <c r="D347">
        <v>12665.429731</v>
      </c>
      <c r="E347">
        <v>289.23149000000001</v>
      </c>
      <c r="F347">
        <v>4</v>
      </c>
      <c r="G347">
        <v>6</v>
      </c>
      <c r="H347">
        <v>7</v>
      </c>
      <c r="I347">
        <v>83</v>
      </c>
    </row>
    <row r="348" spans="1:9">
      <c r="A348" t="s">
        <v>25</v>
      </c>
      <c r="B348">
        <v>2324.897113</v>
      </c>
      <c r="C348">
        <v>-26008.890900999999</v>
      </c>
      <c r="D348">
        <v>-3761.018685</v>
      </c>
      <c r="E348">
        <v>-54.810378</v>
      </c>
      <c r="F348">
        <v>5</v>
      </c>
      <c r="G348">
        <v>5</v>
      </c>
      <c r="H348">
        <v>7</v>
      </c>
      <c r="I348">
        <v>59</v>
      </c>
    </row>
    <row r="349" spans="1:9">
      <c r="A349" t="s">
        <v>26</v>
      </c>
      <c r="B349">
        <v>11562.821298000001</v>
      </c>
      <c r="C349">
        <v>-17415.416578</v>
      </c>
      <c r="D349">
        <v>-15608.56417</v>
      </c>
      <c r="E349">
        <v>153.90266600000001</v>
      </c>
      <c r="F349">
        <v>7</v>
      </c>
      <c r="G349">
        <v>7</v>
      </c>
      <c r="H349">
        <v>7</v>
      </c>
      <c r="I349">
        <v>111</v>
      </c>
    </row>
    <row r="350" spans="1:9">
      <c r="A350" t="s">
        <v>27</v>
      </c>
      <c r="B350">
        <v>22502.189794999998</v>
      </c>
      <c r="C350">
        <v>12923.381141</v>
      </c>
      <c r="D350">
        <v>-5855.323719</v>
      </c>
      <c r="E350">
        <v>-15.672959000000001</v>
      </c>
      <c r="F350">
        <v>7</v>
      </c>
      <c r="G350">
        <v>6</v>
      </c>
      <c r="H350">
        <v>8</v>
      </c>
      <c r="I350">
        <v>119</v>
      </c>
    </row>
    <row r="351" spans="1:9">
      <c r="A351" t="s">
        <v>28</v>
      </c>
      <c r="B351">
        <v>-6482.0659459999997</v>
      </c>
      <c r="C351">
        <v>-21830.597903000002</v>
      </c>
      <c r="D351">
        <v>13800.067427</v>
      </c>
      <c r="E351">
        <v>121.423573</v>
      </c>
      <c r="F351">
        <v>6</v>
      </c>
      <c r="G351">
        <v>7</v>
      </c>
      <c r="H351">
        <v>7</v>
      </c>
      <c r="I351">
        <v>135</v>
      </c>
    </row>
    <row r="352" spans="1:9">
      <c r="A352" t="s">
        <v>29</v>
      </c>
      <c r="B352">
        <v>-15950.254956999999</v>
      </c>
      <c r="C352">
        <v>-19134.625971000001</v>
      </c>
      <c r="D352">
        <v>-9687.4735450000007</v>
      </c>
      <c r="E352">
        <v>244.64090400000001</v>
      </c>
      <c r="F352">
        <v>6</v>
      </c>
      <c r="G352">
        <v>6</v>
      </c>
      <c r="H352">
        <v>7</v>
      </c>
      <c r="I352">
        <v>111</v>
      </c>
    </row>
    <row r="353" spans="1:9">
      <c r="A353" t="s">
        <v>30</v>
      </c>
      <c r="B353">
        <v>-25164.785599999999</v>
      </c>
      <c r="C353">
        <v>6650.6861749999998</v>
      </c>
      <c r="D353">
        <v>-5534.2983789999998</v>
      </c>
      <c r="E353">
        <v>-35.380594000000002</v>
      </c>
      <c r="F353">
        <v>8</v>
      </c>
      <c r="G353">
        <v>7</v>
      </c>
      <c r="H353">
        <v>8</v>
      </c>
      <c r="I353">
        <v>93</v>
      </c>
    </row>
    <row r="354" spans="1:9">
      <c r="A354" t="s">
        <v>31</v>
      </c>
      <c r="B354">
        <v>-465.08078899999998</v>
      </c>
      <c r="C354">
        <v>17832.425113000001</v>
      </c>
      <c r="D354">
        <v>-19444.430920999999</v>
      </c>
      <c r="E354">
        <v>999999.99999899999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Foglio2"/>
  <dimension ref="A1:AA20"/>
  <sheetViews>
    <sheetView topLeftCell="F1" workbookViewId="0">
      <selection activeCell="N1" sqref="N1:AB12"/>
    </sheetView>
  </sheetViews>
  <sheetFormatPr defaultRowHeight="15"/>
  <cols>
    <col min="12" max="13" width="12.7109375" bestFit="1" customWidth="1"/>
    <col min="14" max="14" width="9.5703125" bestFit="1" customWidth="1"/>
    <col min="15" max="15" width="9.42578125" bestFit="1" customWidth="1"/>
    <col min="16" max="16"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[1]SP3!A3</f>
        <v>PG02</v>
      </c>
      <c r="J2">
        <f>[1]SP3!B3</f>
        <v>3175.2787640000001</v>
      </c>
      <c r="K2">
        <f>[1]SP3!C3</f>
        <v>-15333.94405</v>
      </c>
      <c r="L2">
        <f>[1]SP3!D3</f>
        <v>21430.969657000001</v>
      </c>
      <c r="M2">
        <f>[1]SP3!E3</f>
        <v>257.58654100000001</v>
      </c>
      <c r="N2" s="1">
        <f>J2-($AA$3+$Z$3*$A2+$Y$3*$B2+$X$3*$C2+$W$3*$D2+$V$3*$E2+$U$3*$F2+$T$3*$G2+$S$3*$H2)</f>
        <v>-6.1731589084956795E-7</v>
      </c>
      <c r="O2" s="1">
        <f>K2-($AA$4+$Z$4*$A2+$Y$4*$B2+$X$4*$C2+$W$4*$D2+$V$4*$E2+$U$4*$F2+$T$4*$G2+$S$4*$H2)</f>
        <v>2.8384602046571672E-7</v>
      </c>
      <c r="P2" s="1">
        <f>L2-($AA$5+$Z$5*$A2+$Y$5*$B2+$X$5*$C2+$W$5*$D2+$V$5*$E2+$U$5*$F2+$T$5*$G2+$S$5*$H2)</f>
        <v>-2.7150235837325454E-8</v>
      </c>
      <c r="Q2" s="1">
        <f>M2-($AA$6+$Z$6*$A2+$Y$6*$B2+$X$6*$C2+$W$6*$D2+$V$6*$E2+$U$6*$F2+$T$6*$G2+$S$6*$H2)</f>
        <v>6.1075155599610298E-7</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[1]SP3!A35</f>
        <v>PG02</v>
      </c>
      <c r="J3">
        <f>[1]SP3!B35</f>
        <v>5575.7636080000002</v>
      </c>
      <c r="K3">
        <f>[1]SP3!C35</f>
        <v>-14805.568696</v>
      </c>
      <c r="L3">
        <f>[1]SP3!D35</f>
        <v>21270.940010999999</v>
      </c>
      <c r="M3">
        <f>[1]SP3!E35</f>
        <v>257.589764</v>
      </c>
      <c r="N3" s="1">
        <f t="shared" ref="N3:N12" si="7">J3-($AA$3+$Z$3*$A3+$Y$3*$B3+$X$3*$C3+$W$3*$D3+$V$3*$E3+$U$3*$F3+$T$3*$G3+$S$3*H3)</f>
        <v>4.9392556320526637E-6</v>
      </c>
      <c r="O3" s="1">
        <f t="shared" ref="O3:O12" si="8">K3-($AA$4+$Z$4*$A3+$Y$4*$B3+$X$4*$C3+$W$4*$D3+$V$4*$E3+$U$4*$F3+$T$4*$G3+$S$4*$H3)</f>
        <v>-2.2652275220025331E-6</v>
      </c>
      <c r="P3" s="1">
        <f t="shared" ref="P3:P12" si="9">L3-($AA$5+$Z$5*$A3+$Y$5*$B3+$X$5*$C3+$W$5*$D3+$V$5*$E3+$U$5*$F3+$T$5*$G3+$S$5*$H3)</f>
        <v>2.1937376004643738E-7</v>
      </c>
      <c r="Q3" s="1">
        <f t="shared" ref="Q3:Q12" si="10">M3-($AA$6+$Z$6*$A3+$Y$6*$B3+$X$6*$C3+$W$6*$D3+$V$6*$E3+$U$6*$F3+$T$6*$G3+$S$6*$H3)</f>
        <v>-4.9158239789903746E-6</v>
      </c>
      <c r="R3" s="1"/>
      <c r="S3" s="1">
        <f t="array" ref="S3:AA3">LINEST(J2:J12,A2:H12,TRUE,FALSE)</f>
        <v>1.1978062466206654E-2</v>
      </c>
      <c r="T3" s="1">
        <v>-0.30230551728072147</v>
      </c>
      <c r="U3" s="1">
        <v>0.92734028603722618</v>
      </c>
      <c r="V3">
        <v>13.026789092227517</v>
      </c>
      <c r="W3">
        <v>-23.74815679342495</v>
      </c>
      <c r="X3">
        <v>-493.85537874692346</v>
      </c>
      <c r="Y3">
        <v>287.87262869679915</v>
      </c>
      <c r="Z3">
        <v>9561.1565042944258</v>
      </c>
      <c r="AA3">
        <v>3175.278764617316</v>
      </c>
    </row>
    <row r="4" spans="1:27">
      <c r="A4">
        <v>0.5</v>
      </c>
      <c r="B4">
        <f t="shared" si="0"/>
        <v>0.25</v>
      </c>
      <c r="C4">
        <f t="shared" si="1"/>
        <v>0.125</v>
      </c>
      <c r="D4">
        <f t="shared" si="2"/>
        <v>6.25E-2</v>
      </c>
      <c r="E4">
        <f t="shared" si="3"/>
        <v>3.125E-2</v>
      </c>
      <c r="F4">
        <f t="shared" si="4"/>
        <v>1.5625E-2</v>
      </c>
      <c r="G4">
        <f t="shared" si="5"/>
        <v>7.8125E-3</v>
      </c>
      <c r="H4">
        <f t="shared" si="6"/>
        <v>3.90625E-3</v>
      </c>
      <c r="I4" t="str">
        <f>[1]SP3!A67</f>
        <v>PG02</v>
      </c>
      <c r="J4">
        <f>[1]SP3!B67</f>
        <v>7965.0282370000004</v>
      </c>
      <c r="K4">
        <f>[1]SP3!C67</f>
        <v>-14399.162231</v>
      </c>
      <c r="L4">
        <f>[1]SP3!D67</f>
        <v>20742.805354</v>
      </c>
      <c r="M4">
        <f>[1]SP3!E67</f>
        <v>257.59270900000001</v>
      </c>
      <c r="N4" s="1">
        <f t="shared" si="7"/>
        <v>-1.6674327525834087E-5</v>
      </c>
      <c r="O4" s="1">
        <f t="shared" si="8"/>
        <v>7.6140240707900375E-6</v>
      </c>
      <c r="P4" s="1">
        <f t="shared" si="9"/>
        <v>-7.5202842708677053E-7</v>
      </c>
      <c r="Q4" s="1">
        <f t="shared" si="10"/>
        <v>1.6758600565935922E-5</v>
      </c>
      <c r="R4" s="1"/>
      <c r="S4" s="1">
        <f t="array" ref="S4:AA4">LINEST(K2:K12,A2:H12,TRUE,FALSE)</f>
        <v>1.9573884029450001E-2</v>
      </c>
      <c r="T4" s="1">
        <v>-6.4316901915086655E-2</v>
      </c>
      <c r="U4" s="1">
        <v>-1.7635310481456696</v>
      </c>
      <c r="V4">
        <v>3.9528266669000458</v>
      </c>
      <c r="W4">
        <v>79.762061991064513</v>
      </c>
      <c r="X4">
        <v>-120.88645001561621</v>
      </c>
      <c r="Y4">
        <v>-920.69181710631051</v>
      </c>
      <c r="Z4">
        <v>2349.9697973570201</v>
      </c>
      <c r="AA4">
        <v>-15333.944050283846</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[1]SP3!A99</f>
        <v>PG02</v>
      </c>
      <c r="J5">
        <f>[1]SP3!B99</f>
        <v>10295.432434</v>
      </c>
      <c r="K5">
        <f>[1]SP3!C99</f>
        <v>-14114.500091</v>
      </c>
      <c r="L5">
        <f>[1]SP3!D99</f>
        <v>19854.397276</v>
      </c>
      <c r="M5">
        <f>[1]SP3!E99</f>
        <v>257.595574</v>
      </c>
      <c r="N5" s="1">
        <f t="shared" si="7"/>
        <v>2.9658618586836383E-5</v>
      </c>
      <c r="O5" s="1">
        <f t="shared" si="8"/>
        <v>-1.3425404176814482E-5</v>
      </c>
      <c r="P5" s="1">
        <f t="shared" si="9"/>
        <v>1.3785174814984202E-6</v>
      </c>
      <c r="Q5" s="1">
        <f t="shared" si="10"/>
        <v>-3.0389313451451017E-5</v>
      </c>
      <c r="R5" s="1"/>
      <c r="S5" s="1">
        <f t="array" ref="S5:AA5">LINEST(L2:L12,A2:H12,TRUE,FALSE)</f>
        <v>6.3121858003263856E-3</v>
      </c>
      <c r="T5" s="1">
        <v>-4.3414399557573514E-2</v>
      </c>
      <c r="U5" s="1">
        <v>-0.58749631963621585</v>
      </c>
      <c r="V5">
        <v>1.0445712111778731</v>
      </c>
      <c r="W5">
        <v>68.152007377815877</v>
      </c>
      <c r="X5">
        <v>-19.4519817857134</v>
      </c>
      <c r="Y5">
        <v>-2960.2387991020141</v>
      </c>
      <c r="Z5">
        <v>100.08849212028146</v>
      </c>
      <c r="AA5">
        <v>21430.969657027152</v>
      </c>
    </row>
    <row r="6" spans="1:27">
      <c r="A6">
        <v>1</v>
      </c>
      <c r="B6">
        <f t="shared" si="0"/>
        <v>1</v>
      </c>
      <c r="C6">
        <f t="shared" si="1"/>
        <v>1</v>
      </c>
      <c r="D6">
        <f t="shared" si="2"/>
        <v>1</v>
      </c>
      <c r="E6">
        <f t="shared" si="3"/>
        <v>1</v>
      </c>
      <c r="F6">
        <f t="shared" si="4"/>
        <v>1</v>
      </c>
      <c r="G6">
        <f t="shared" si="5"/>
        <v>1</v>
      </c>
      <c r="H6">
        <f t="shared" si="6"/>
        <v>1</v>
      </c>
      <c r="I6" t="str">
        <f>[1]SP3!A131</f>
        <v>PG02</v>
      </c>
      <c r="J6">
        <f>[1]SP3!B131</f>
        <v>12520.368138</v>
      </c>
      <c r="K6">
        <f>[1]SP3!C131</f>
        <v>-13943.645893999999</v>
      </c>
      <c r="L6">
        <f>[1]SP3!D131</f>
        <v>18619.939347</v>
      </c>
      <c r="M6">
        <f>[1]SP3!E131</f>
        <v>257.59865100000002</v>
      </c>
      <c r="N6" s="1">
        <f t="shared" si="7"/>
        <v>-2.5991646907641552E-5</v>
      </c>
      <c r="O6" s="1">
        <f t="shared" si="8"/>
        <v>1.1456817446742207E-5</v>
      </c>
      <c r="P6" s="1">
        <f t="shared" si="9"/>
        <v>-1.3153039617463946E-6</v>
      </c>
      <c r="Q6" s="1">
        <f t="shared" si="10"/>
        <v>2.815579478010477E-5</v>
      </c>
      <c r="R6" s="1"/>
      <c r="S6" s="1">
        <f t="array" ref="S6:AA6">LINEST(M2:M12,A2:H12,TRUE,FALSE)</f>
        <v>5.3920400996258322E-4</v>
      </c>
      <c r="T6" s="1">
        <v>-5.0850313228118001E-3</v>
      </c>
      <c r="U6" s="1">
        <v>1.9170010042440629E-2</v>
      </c>
      <c r="V6">
        <v>-3.6425819052991283E-2</v>
      </c>
      <c r="W6">
        <v>3.5529309524104317E-2</v>
      </c>
      <c r="X6">
        <v>-1.472997836286276E-2</v>
      </c>
      <c r="Y6">
        <v>-4.2613408642098842E-4</v>
      </c>
      <c r="Z6">
        <v>1.3510894205377369E-2</v>
      </c>
      <c r="AA6">
        <v>257.58654038924846</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[1]SP3!B165</f>
        <v>14595.907209999999</v>
      </c>
      <c r="K7">
        <f>[1]SP3!C165</f>
        <v>-13871.291803</v>
      </c>
      <c r="L7">
        <f>[1]SP3!D165</f>
        <v>17059.878999</v>
      </c>
      <c r="M7">
        <f>[1]SP3!E165</f>
        <v>257.60166299999997</v>
      </c>
      <c r="N7" s="1">
        <f t="shared" si="7"/>
        <v>9.6841176855377853E-8</v>
      </c>
      <c r="O7" s="1">
        <f t="shared" si="8"/>
        <v>6.9698580773547292E-7</v>
      </c>
      <c r="P7" s="1">
        <f t="shared" si="9"/>
        <v>2.6188718038611114E-7</v>
      </c>
      <c r="Q7" s="1">
        <f t="shared" si="10"/>
        <v>-3.7563488604064332E-6</v>
      </c>
    </row>
    <row r="8" spans="1:27">
      <c r="A8">
        <v>1.5</v>
      </c>
      <c r="B8">
        <f t="shared" si="0"/>
        <v>2.25</v>
      </c>
      <c r="C8">
        <f t="shared" si="1"/>
        <v>3.375</v>
      </c>
      <c r="D8">
        <f t="shared" si="2"/>
        <v>5.0625</v>
      </c>
      <c r="E8">
        <f t="shared" si="3"/>
        <v>7.59375</v>
      </c>
      <c r="F8">
        <f t="shared" si="4"/>
        <v>11.390625</v>
      </c>
      <c r="G8">
        <f t="shared" si="5"/>
        <v>17.0859375</v>
      </c>
      <c r="H8">
        <f t="shared" si="6"/>
        <v>25.62890625</v>
      </c>
      <c r="J8">
        <f>[1]SP3!B197</f>
        <v>16482.366990999999</v>
      </c>
      <c r="K8">
        <f>[1]SP3!C197</f>
        <v>-13875.410486000001</v>
      </c>
      <c r="L8">
        <f>[1]SP3!D197</f>
        <v>15200.594458</v>
      </c>
      <c r="M8">
        <f>[1]SP3!E197</f>
        <v>257.60466600000001</v>
      </c>
      <c r="N8" s="1">
        <f t="shared" si="7"/>
        <v>2.5830242520896718E-5</v>
      </c>
      <c r="O8" s="1">
        <f t="shared" si="8"/>
        <v>-1.2618458640645258E-5</v>
      </c>
      <c r="P8" s="1">
        <f t="shared" si="9"/>
        <v>8.7885564425960183E-7</v>
      </c>
      <c r="Q8" s="1">
        <f t="shared" si="10"/>
        <v>-2.189521308082476E-5</v>
      </c>
      <c r="W8">
        <f t="array" ref="W8:AA8">LINEST(J2:J6,A2:D6,TRUE,FALSE)</f>
        <v>11.009663999974453</v>
      </c>
      <c r="X8">
        <v>-524.67681066661396</v>
      </c>
      <c r="Y8">
        <v>298.92915999997177</v>
      </c>
      <c r="Z8">
        <v>9559.827360666668</v>
      </c>
      <c r="AA8">
        <v>3175.278764000001</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[1]SP3!B229</f>
        <v>18145.728575000001</v>
      </c>
      <c r="K9">
        <f>[1]SP3!C229</f>
        <v>-13928.197238999999</v>
      </c>
      <c r="L9">
        <f>[1]SP3!D229</f>
        <v>13073.977073</v>
      </c>
      <c r="M9">
        <f>[1]SP3!E229</f>
        <v>257.607778</v>
      </c>
      <c r="N9" s="1">
        <f t="shared" si="7"/>
        <v>-2.9566384910140187E-5</v>
      </c>
      <c r="O9" s="1">
        <f t="shared" si="8"/>
        <v>1.4089204341871664E-5</v>
      </c>
      <c r="P9" s="1">
        <f t="shared" si="9"/>
        <v>-1.1290940165054053E-6</v>
      </c>
      <c r="Q9" s="1">
        <f t="shared" si="10"/>
        <v>2.6811838438334235E-5</v>
      </c>
      <c r="W9">
        <f t="array" ref="W9:AA9">LINEST(K2:K6,A2:D6,TRUE,FALSE)</f>
        <v>82.259391999991124</v>
      </c>
      <c r="X9">
        <v>-120.99373866664824</v>
      </c>
      <c r="Y9">
        <v>-920.99429200000918</v>
      </c>
      <c r="Z9">
        <v>2350.0267946666668</v>
      </c>
      <c r="AA9">
        <v>-15333.944050000002</v>
      </c>
    </row>
    <row r="10" spans="1:27">
      <c r="A10">
        <v>2</v>
      </c>
      <c r="B10">
        <f t="shared" si="0"/>
        <v>4</v>
      </c>
      <c r="C10">
        <f t="shared" si="1"/>
        <v>8</v>
      </c>
      <c r="D10">
        <f t="shared" si="2"/>
        <v>16</v>
      </c>
      <c r="E10">
        <f t="shared" si="3"/>
        <v>32</v>
      </c>
      <c r="F10">
        <f t="shared" si="4"/>
        <v>64</v>
      </c>
      <c r="G10">
        <f t="shared" si="5"/>
        <v>128</v>
      </c>
      <c r="H10">
        <f t="shared" si="6"/>
        <v>256</v>
      </c>
      <c r="J10">
        <v>19558.847073000001</v>
      </c>
      <c r="K10">
        <v>-13997.267523</v>
      </c>
      <c r="L10">
        <v>10716.893099999999</v>
      </c>
      <c r="M10">
        <v>257.61087800000001</v>
      </c>
      <c r="N10" s="1">
        <f t="shared" si="7"/>
        <v>1.6639740351820365E-5</v>
      </c>
      <c r="O10" s="1">
        <f t="shared" si="8"/>
        <v>-7.8629418567288667E-6</v>
      </c>
      <c r="P10" s="1">
        <f t="shared" si="9"/>
        <v>6.5850690589286387E-7</v>
      </c>
      <c r="Q10" s="1">
        <f t="shared" si="10"/>
        <v>-1.5417047222854308E-5</v>
      </c>
      <c r="W10">
        <f t="array" ref="W10:AA10">LINEST(L2:L6,A2:D6,TRUE,FALSE)</f>
        <v>68.181120000076319</v>
      </c>
      <c r="X10">
        <v>-18.734720000174459</v>
      </c>
      <c r="Y10">
        <v>-2960.6182879998719</v>
      </c>
      <c r="Z10">
        <v>100.14157799996724</v>
      </c>
      <c r="AA10">
        <v>21430.969657000001</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v>20702.400532</v>
      </c>
      <c r="K11">
        <v>-14047.062989</v>
      </c>
      <c r="L11">
        <v>8170.5329330000004</v>
      </c>
      <c r="M11">
        <v>257.61402500000003</v>
      </c>
      <c r="N11" s="1">
        <f t="shared" si="7"/>
        <v>-4.9315713113173842E-6</v>
      </c>
      <c r="O11" s="1">
        <f t="shared" si="8"/>
        <v>2.3205429897643626E-6</v>
      </c>
      <c r="P11" s="1">
        <f t="shared" si="9"/>
        <v>-1.9857179722748697E-7</v>
      </c>
      <c r="Q11" s="1">
        <f t="shared" si="10"/>
        <v>4.6177013359738339E-6</v>
      </c>
      <c r="W11">
        <f t="array" ref="W11:AA11">LINEST(M2:M6,A2:D6,TRUE,FALSE)</f>
        <v>1.0026666677730362E-3</v>
      </c>
      <c r="X11">
        <v>6.079999978588637E-4</v>
      </c>
      <c r="Y11">
        <v>-3.1186666653867882E-3</v>
      </c>
      <c r="Z11">
        <v>1.3617999999761831E-2</v>
      </c>
      <c r="AA11">
        <v>257.58654100000007</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v>21565.534524999999</v>
      </c>
      <c r="K12">
        <v>-14040.408536999999</v>
      </c>
      <c r="L12">
        <v>5479.6597389999997</v>
      </c>
      <c r="M12">
        <v>257.617434</v>
      </c>
      <c r="N12" s="1">
        <f t="shared" si="7"/>
        <v>6.1654645833186805E-7</v>
      </c>
      <c r="O12" s="1">
        <f t="shared" si="8"/>
        <v>-2.8937756724189967E-7</v>
      </c>
      <c r="P12" s="1">
        <f t="shared" si="9"/>
        <v>2.5083863874897361E-8</v>
      </c>
      <c r="Q12" s="1">
        <f t="shared" si="10"/>
        <v>-5.8093911547985044E-7</v>
      </c>
    </row>
    <row r="16" spans="1:27">
      <c r="S16" s="4"/>
    </row>
    <row r="17" spans="19:19">
      <c r="S17" s="4"/>
    </row>
    <row r="18" spans="19:19">
      <c r="S18" s="4"/>
    </row>
    <row r="19" spans="19:19">
      <c r="S19" s="4"/>
    </row>
    <row r="20" spans="19:19">
      <c r="S20"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Foglio3"/>
  <dimension ref="A1:AA12"/>
  <sheetViews>
    <sheetView topLeftCell="C1" workbookViewId="0">
      <selection activeCell="N1" sqref="N1:AB12"/>
    </sheetView>
  </sheetViews>
  <sheetFormatPr defaultRowHeight="15"/>
  <cols>
    <col min="13" max="14" width="12.7109375" bestFit="1" customWidth="1"/>
    <col min="15" max="15" width="9.5703125" bestFit="1" customWidth="1"/>
    <col min="16" max="16" width="9.42578125" bestFit="1" customWidth="1"/>
    <col min="17" max="17"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'SP3'!A5</f>
        <v>PG04</v>
      </c>
      <c r="J2">
        <f>'SP3'!B5</f>
        <v>18737.20983</v>
      </c>
      <c r="K2">
        <f>'SP3'!C5</f>
        <v>-8028.7626499999997</v>
      </c>
      <c r="L2">
        <f>'SP3'!D5</f>
        <v>17040.697998</v>
      </c>
      <c r="M2">
        <f>'SP3'!E5</f>
        <v>86.587373999999997</v>
      </c>
      <c r="N2" s="1">
        <f>J2-($AA$3+$Z$3*$A2+$Y$3*$B2+$X$3*$C2+$W$3*$D2+$V$3*$E2+$U$3*$F2+$T$3*$G2+$S$3*$H2)</f>
        <v>6.443588063120842E-8</v>
      </c>
      <c r="O2" s="1">
        <f>K2-($AA$4+$Z$4*$A2+$Y$4*$B2+$X$4*$C2+$W$4*$D2+$V$4*$E2+$U$4*$F2+$T$4*$G2+$S$4*$H2)</f>
        <v>3.8389953260775656E-7</v>
      </c>
      <c r="P2" s="1">
        <f>L2-($AA$5+$Z$5*$A2+$Y$5*$B2+$X$5*$C2+$W$5*$D2+$V$5*$E2+$U$5*$F2+$T$5*$G2+$S$5*$H2)</f>
        <v>-2.2155290935188532E-9</v>
      </c>
      <c r="Q2" s="1">
        <f>M2-($AA$6+$Z$6*$A2+$Y$6*$B2+$X$6*$C2+$W$6*$D2+$V$6*$E2+$U$6*$F2+$T$6*$G2+$S$6*$H2)</f>
        <v>1.1575266967156495E-6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'SP3'!A37</f>
        <v>PG04</v>
      </c>
      <c r="J3">
        <f>'SP3'!B37</f>
        <v>20516.924905</v>
      </c>
      <c r="K3">
        <f>'SP3'!C37</f>
        <v>-7433.1557979999998</v>
      </c>
      <c r="L3">
        <f>'SP3'!D37</f>
        <v>15212.114376</v>
      </c>
      <c r="M3">
        <f>'SP3'!E37</f>
        <v>86.594847000000001</v>
      </c>
      <c r="N3" s="1">
        <f t="shared" ref="N3:N12" si="7">J3-($AA$3+$Z$3*$A3+$Y$3*$B3+$X$3*$C3+$W$3*$D3+$V$3*$E3+$U$3*$F3+$T$3*$G3+$S$3*H3)</f>
        <v>-5.1299139158800244E-7</v>
      </c>
      <c r="O3" s="1">
        <f t="shared" ref="O3:O12" si="8">K3-($AA$4+$Z$4*$A3+$Y$4*$B3+$X$4*$C3+$W$4*$D3+$V$4*$E3+$U$4*$F3+$T$4*$G3+$S$4*$H3)</f>
        <v>-3.0708069971296936E-6</v>
      </c>
      <c r="P3" s="1">
        <f t="shared" ref="P3:P12" si="9">L3-($AA$5+$Z$5*$A3+$Y$5*$B3+$X$5*$C3+$W$5*$D3+$V$5*$E3+$U$5*$F3+$T$5*$G3+$S$5*$H3)</f>
        <v>1.7251295503228903E-8</v>
      </c>
      <c r="Q3" s="1">
        <f t="shared" ref="Q3:Q12" si="10">M3-($AA$6+$Z$6*$A3+$Y$6*$B3+$X$6*$C3+$W$6*$D3+$V$6*$E3+$U$6*$F3+$T$6*$G3+$S$6*$H3)</f>
        <v>-9.9781874638438239E-6</v>
      </c>
      <c r="R3" s="1"/>
      <c r="S3" s="1">
        <f t="array" ref="S3:AA3">LINEST(J2:J12,A2:H12,TRUE,FALSE)</f>
        <v>1.6571177280318112E-2</v>
      </c>
      <c r="T3" s="1">
        <v>-0.17865471212055919</v>
      </c>
      <c r="U3" s="1">
        <v>-0.84206701704264009</v>
      </c>
      <c r="V3">
        <v>12.356547757534962</v>
      </c>
      <c r="W3">
        <v>39.300033656359311</v>
      </c>
      <c r="X3">
        <v>-441.82226659561127</v>
      </c>
      <c r="Y3">
        <v>-1237.2485864169889</v>
      </c>
      <c r="Z3">
        <v>7455.1248747221616</v>
      </c>
      <c r="AA3">
        <v>18737.209829935564</v>
      </c>
    </row>
    <row r="4" spans="1:27">
      <c r="A4">
        <v>0.5</v>
      </c>
      <c r="B4">
        <f t="shared" si="0"/>
        <v>0.25</v>
      </c>
      <c r="C4">
        <f t="shared" si="1"/>
        <v>0.125</v>
      </c>
      <c r="D4">
        <f t="shared" si="2"/>
        <v>6.25E-2</v>
      </c>
      <c r="E4">
        <f t="shared" si="3"/>
        <v>3.125E-2</v>
      </c>
      <c r="F4">
        <f t="shared" si="4"/>
        <v>1.5625E-2</v>
      </c>
      <c r="G4">
        <f t="shared" si="5"/>
        <v>7.8125E-3</v>
      </c>
      <c r="H4">
        <f t="shared" si="6"/>
        <v>3.90625E-3</v>
      </c>
      <c r="I4" t="str">
        <f>'SP3'!A69</f>
        <v>PG04</v>
      </c>
      <c r="J4">
        <f>'SP3'!B69</f>
        <v>22103.060245000001</v>
      </c>
      <c r="K4">
        <f>'SP3'!C69</f>
        <v>-6963.2335389999998</v>
      </c>
      <c r="L4">
        <f>'SP3'!D69</f>
        <v>13122.915016999999</v>
      </c>
      <c r="M4">
        <f>'SP3'!E69</f>
        <v>86.602293000000003</v>
      </c>
      <c r="N4" s="1">
        <f t="shared" si="7"/>
        <v>1.717027771519497E-6</v>
      </c>
      <c r="O4" s="1">
        <f t="shared" si="8"/>
        <v>1.0361719432694372E-5</v>
      </c>
      <c r="P4" s="1">
        <f t="shared" si="9"/>
        <v>-5.5439159041270614E-8</v>
      </c>
      <c r="Q4" s="1">
        <f t="shared" si="10"/>
        <v>3.7714986262926686E-5</v>
      </c>
      <c r="R4" s="1"/>
      <c r="S4" s="1">
        <f t="array" ref="S4:AA4">LINEST(K2:K12,A2:H12,TRUE,FALSE)</f>
        <v>1.7597059568800807E-4</v>
      </c>
      <c r="T4" s="1">
        <v>0.17812860179679119</v>
      </c>
      <c r="U4" s="1">
        <v>-1.8101696021321216</v>
      </c>
      <c r="V4">
        <v>-5.2400396660138577</v>
      </c>
      <c r="W4">
        <v>78.069423631711288</v>
      </c>
      <c r="X4">
        <v>120.0506149326161</v>
      </c>
      <c r="Y4">
        <v>-1128.2338431542573</v>
      </c>
      <c r="Z4">
        <v>2655.7850775793881</v>
      </c>
      <c r="AA4">
        <v>-8028.7626503838992</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'SP3'!A101</f>
        <v>PG04</v>
      </c>
      <c r="J5">
        <f>'SP3'!B101</f>
        <v>23461.402368999999</v>
      </c>
      <c r="K5">
        <f>'SP3'!C101</f>
        <v>-6597.749253</v>
      </c>
      <c r="L5">
        <f>'SP3'!D101</f>
        <v>10809.655729</v>
      </c>
      <c r="M5">
        <f>'SP3'!E101</f>
        <v>86.609615000000005</v>
      </c>
      <c r="N5" s="1">
        <f t="shared" si="7"/>
        <v>-3.0016308301128447E-6</v>
      </c>
      <c r="O5" s="1">
        <f t="shared" si="8"/>
        <v>-1.8412825738778338E-5</v>
      </c>
      <c r="P5" s="1">
        <f t="shared" si="9"/>
        <v>8.859387889970094E-8</v>
      </c>
      <c r="Q5" s="1">
        <f t="shared" si="10"/>
        <v>-8.1408343959310514E-5</v>
      </c>
      <c r="R5" s="1"/>
      <c r="S5" s="1">
        <f t="array" ref="S5:AA5">LINEST(L2:L12,A2:H12,TRUE,FALSE)</f>
        <v>-1.7406288997125366E-3</v>
      </c>
      <c r="T5" s="1">
        <v>5.1022841773750043E-2</v>
      </c>
      <c r="U5" s="1">
        <v>-0.39067768554411009</v>
      </c>
      <c r="V5">
        <v>-4.9853183205585454</v>
      </c>
      <c r="W5">
        <v>51.54750036497456</v>
      </c>
      <c r="X5">
        <v>320.88796553366103</v>
      </c>
      <c r="Y5">
        <v>-2346.9312433462333</v>
      </c>
      <c r="Z5">
        <v>-6748.4427617100091</v>
      </c>
      <c r="AA5">
        <v>17040.697998002215</v>
      </c>
    </row>
    <row r="6" spans="1:27">
      <c r="A6">
        <v>1</v>
      </c>
      <c r="B6">
        <f t="shared" si="0"/>
        <v>1</v>
      </c>
      <c r="C6">
        <f t="shared" si="1"/>
        <v>1</v>
      </c>
      <c r="D6">
        <f t="shared" si="2"/>
        <v>1</v>
      </c>
      <c r="E6">
        <f t="shared" si="3"/>
        <v>1</v>
      </c>
      <c r="F6">
        <f t="shared" si="4"/>
        <v>1</v>
      </c>
      <c r="G6">
        <f t="shared" si="5"/>
        <v>1</v>
      </c>
      <c r="H6">
        <f t="shared" si="6"/>
        <v>1</v>
      </c>
      <c r="I6" t="str">
        <f>'SP3'!A133</f>
        <v>PG04</v>
      </c>
      <c r="J6">
        <f>'SP3'!B133</f>
        <v>24563.916284999999</v>
      </c>
      <c r="K6">
        <f>'SP3'!C133</f>
        <v>-6309.9632659999997</v>
      </c>
      <c r="L6">
        <f>'SP3'!D133</f>
        <v>8312.4327450000001</v>
      </c>
      <c r="M6">
        <f>'SP3'!E133</f>
        <v>86.617375999999993</v>
      </c>
      <c r="N6" s="1">
        <f t="shared" si="7"/>
        <v>2.4928631319198757E-6</v>
      </c>
      <c r="O6" s="1">
        <f t="shared" si="8"/>
        <v>1.6090196368168108E-5</v>
      </c>
      <c r="P6" s="1">
        <f t="shared" si="9"/>
        <v>-5.1382812671363354E-8</v>
      </c>
      <c r="Q6" s="1">
        <f t="shared" si="10"/>
        <v>1.0892593473954548E-4</v>
      </c>
      <c r="R6" s="1"/>
      <c r="S6" s="1">
        <f t="array" ref="S6:AA6">LINEST(M2:M12,A2:H12,TRUE,FALSE)</f>
        <v>1.3327398496525789E-3</v>
      </c>
      <c r="T6" s="1">
        <v>-1.2933765630030064E-2</v>
      </c>
      <c r="U6" s="1">
        <v>5.0464719918489699E-2</v>
      </c>
      <c r="V6">
        <v>-0.10072470368295317</v>
      </c>
      <c r="W6">
        <v>0.10822779236586655</v>
      </c>
      <c r="X6">
        <v>-6.0603107429433263E-2</v>
      </c>
      <c r="Y6">
        <v>1.5666837534428577E-2</v>
      </c>
      <c r="Z6">
        <v>2.8463718665918882E-2</v>
      </c>
      <c r="AA6">
        <v>86.5873728424733</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'SP3'!B167</f>
        <v>25389.672081000001</v>
      </c>
      <c r="K7">
        <f>'SP3'!C167</f>
        <v>-6068.869796</v>
      </c>
      <c r="L7">
        <f>'SP3'!D167</f>
        <v>5674.1757950000001</v>
      </c>
      <c r="M7">
        <f>'SP3'!E167</f>
        <v>86.624594999999999</v>
      </c>
      <c r="N7" s="1">
        <f t="shared" si="7"/>
        <v>3.2053503673523664E-7</v>
      </c>
      <c r="O7" s="1">
        <f t="shared" si="8"/>
        <v>5.0466042011976242E-8</v>
      </c>
      <c r="P7" s="1">
        <f t="shared" si="9"/>
        <v>-6.2745129980612546E-8</v>
      </c>
      <c r="Q7" s="1">
        <f t="shared" si="10"/>
        <v>-9.0464721026251027E-5</v>
      </c>
    </row>
    <row r="8" spans="1:27">
      <c r="A8">
        <v>1.5</v>
      </c>
      <c r="B8">
        <f t="shared" si="0"/>
        <v>2.25</v>
      </c>
      <c r="C8">
        <f t="shared" si="1"/>
        <v>3.375</v>
      </c>
      <c r="D8">
        <f t="shared" si="2"/>
        <v>5.0625</v>
      </c>
      <c r="E8">
        <f t="shared" si="3"/>
        <v>7.59375</v>
      </c>
      <c r="F8">
        <f t="shared" si="4"/>
        <v>11.390625</v>
      </c>
      <c r="G8">
        <f t="shared" si="5"/>
        <v>17.0859375</v>
      </c>
      <c r="H8">
        <f t="shared" si="6"/>
        <v>25.62890625</v>
      </c>
      <c r="J8">
        <f>'SP3'!$B$199</f>
        <v>25925.507173000002</v>
      </c>
      <c r="K8">
        <f>'SP3'!$C$199</f>
        <v>-5840.5764250000002</v>
      </c>
      <c r="L8">
        <f>'SP3'!$D$199</f>
        <v>2939.9145010000002</v>
      </c>
      <c r="M8">
        <f>'SP3'!$E$199</f>
        <v>86.631845999999996</v>
      </c>
      <c r="N8" s="1">
        <f t="shared" si="7"/>
        <v>-3.0270821298472583E-6</v>
      </c>
      <c r="O8" s="1">
        <f t="shared" si="8"/>
        <v>-1.6174304619198665E-5</v>
      </c>
      <c r="P8" s="1">
        <f t="shared" si="9"/>
        <v>1.5594469005009159E-7</v>
      </c>
      <c r="Q8" s="1">
        <f t="shared" si="10"/>
        <v>4.1848600318417084E-5</v>
      </c>
      <c r="W8">
        <f t="array" ref="W8:AA8">LINEST(J2:J6,A2:D6,TRUE,FALSE)</f>
        <v>65.903882666682051</v>
      </c>
      <c r="X8">
        <v>-463.79962133335857</v>
      </c>
      <c r="Y8">
        <v>-1229.6211126666574</v>
      </c>
      <c r="Z8">
        <v>7454.2233063333315</v>
      </c>
      <c r="AA8">
        <v>18737.20983</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'SP3'!B231</f>
        <v>26166.404735</v>
      </c>
      <c r="K9">
        <f>'SP3'!C231</f>
        <v>-5589.7822370000004</v>
      </c>
      <c r="L9">
        <f>'SP3'!D231</f>
        <v>156.030046</v>
      </c>
      <c r="M9">
        <f>'SP3'!E231</f>
        <v>86.638829000000001</v>
      </c>
      <c r="N9" s="1">
        <f t="shared" si="7"/>
        <v>3.3068863558582962E-6</v>
      </c>
      <c r="O9" s="1">
        <f t="shared" si="8"/>
        <v>1.846088889578823E-5</v>
      </c>
      <c r="P9" s="1">
        <f t="shared" si="9"/>
        <v>-1.4834978401268017E-7</v>
      </c>
      <c r="Q9" s="1">
        <f t="shared" si="10"/>
        <v>-4.7485332004271186E-6</v>
      </c>
      <c r="W9">
        <f t="array" ref="W9:AA9">LINEST(K2:K6,A2:D6,TRUE,FALSE)</f>
        <v>58.592576000007512</v>
      </c>
      <c r="X9">
        <v>138.74174933332037</v>
      </c>
      <c r="Y9">
        <v>-1135.1673079999937</v>
      </c>
      <c r="Z9">
        <v>2656.6323666666658</v>
      </c>
      <c r="AA9">
        <v>-8028.7626499999988</v>
      </c>
    </row>
    <row r="10" spans="1:27">
      <c r="A10">
        <v>2</v>
      </c>
      <c r="B10">
        <f t="shared" si="0"/>
        <v>4</v>
      </c>
      <c r="C10">
        <f t="shared" si="1"/>
        <v>8</v>
      </c>
      <c r="D10">
        <f t="shared" si="2"/>
        <v>16</v>
      </c>
      <c r="E10">
        <f t="shared" si="3"/>
        <v>32</v>
      </c>
      <c r="F10">
        <f t="shared" si="4"/>
        <v>64</v>
      </c>
      <c r="G10">
        <f t="shared" si="5"/>
        <v>128</v>
      </c>
      <c r="H10">
        <f t="shared" si="6"/>
        <v>256</v>
      </c>
      <c r="J10">
        <f>'SP3'!B263</f>
        <v>26115.579295</v>
      </c>
      <c r="K10">
        <f>'SP3'!C263</f>
        <v>-5281.2987949999997</v>
      </c>
      <c r="L10">
        <f>'SP3'!D263</f>
        <v>-2630.4970039999998</v>
      </c>
      <c r="M10">
        <f>'SP3'!E263</f>
        <v>86.645993000000004</v>
      </c>
      <c r="N10" s="1">
        <f t="shared" si="7"/>
        <v>-1.8315076886210591E-6</v>
      </c>
      <c r="O10" s="1">
        <f t="shared" si="8"/>
        <v>-1.0379742889199406E-5</v>
      </c>
      <c r="P10" s="1">
        <f t="shared" si="9"/>
        <v>7.783819455653429E-8</v>
      </c>
      <c r="Q10" s="1">
        <f t="shared" si="10"/>
        <v>-5.4061573138142194E-6</v>
      </c>
      <c r="W10">
        <f t="array" ref="W10:AA10">LINEST(L2:L6,A2:D6,TRUE,FALSE)</f>
        <v>37.764533333386929</v>
      </c>
      <c r="X10">
        <v>333.28181866654592</v>
      </c>
      <c r="Y10">
        <v>-2351.4092433332448</v>
      </c>
      <c r="Z10">
        <v>-6747.9023616666882</v>
      </c>
      <c r="AA10">
        <v>17040.697998</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'SP3'!B295</f>
        <v>25784.270737999999</v>
      </c>
      <c r="K11">
        <f>'SP3'!C295</f>
        <v>-4881.5580120000004</v>
      </c>
      <c r="L11">
        <f>'SP3'!D295</f>
        <v>-5372.8329290000001</v>
      </c>
      <c r="M11">
        <f>'SP3'!E295</f>
        <v>86.653156999999993</v>
      </c>
      <c r="N11" s="1">
        <f t="shared" si="7"/>
        <v>5.3842450142838061E-7</v>
      </c>
      <c r="O11" s="1">
        <f t="shared" si="8"/>
        <v>3.0748133212910034E-6</v>
      </c>
      <c r="P11" s="1">
        <f t="shared" si="9"/>
        <v>-2.2238054953049868E-8</v>
      </c>
      <c r="Q11" s="1">
        <f t="shared" si="10"/>
        <v>2.798447695795403E-6</v>
      </c>
      <c r="W11">
        <f t="array" ref="W11:AA11">LINEST(M2:M6,A2:D6,TRUE,FALSE)</f>
        <v>7.0399999998091252E-3</v>
      </c>
      <c r="X11">
        <v>-1.1594666666344896E-2</v>
      </c>
      <c r="Y11">
        <v>5.3999999998190643E-3</v>
      </c>
      <c r="Z11">
        <v>2.9156666666712787E-2</v>
      </c>
      <c r="AA11">
        <v>86.587373999999997</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'SP3'!B327</f>
        <v>25191.257776999999</v>
      </c>
      <c r="K12">
        <f>'SP3'!C327</f>
        <v>-4360.0527389999997</v>
      </c>
      <c r="L12">
        <f>'SP3'!D327</f>
        <v>-8025.022387</v>
      </c>
      <c r="M12">
        <f>'SP3'!E327</f>
        <v>86.660720999999995</v>
      </c>
      <c r="N12" s="1">
        <f t="shared" si="7"/>
        <v>-6.6993379732593894E-8</v>
      </c>
      <c r="O12" s="1">
        <f t="shared" si="8"/>
        <v>-3.8430152926594019E-7</v>
      </c>
      <c r="P12" s="1">
        <f t="shared" si="9"/>
        <v>2.7166606741957366E-9</v>
      </c>
      <c r="Q12" s="1">
        <f t="shared" si="10"/>
        <v>-4.3955270712103811E-7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sheetPr codeName="Foglio4"/>
  <dimension ref="A1:AA12"/>
  <sheetViews>
    <sheetView workbookViewId="0">
      <selection activeCell="N1" sqref="N1:AB12"/>
    </sheetView>
  </sheetViews>
  <sheetFormatPr defaultRowHeight="15"/>
  <cols>
    <col min="13" max="14" width="12.7109375" bestFit="1" customWidth="1"/>
    <col min="15" max="15" width="9.5703125" bestFit="1" customWidth="1"/>
    <col min="16" max="16" width="9.42578125" bestFit="1" customWidth="1"/>
    <col min="17" max="17"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'SP3'!A8</f>
        <v>PG07</v>
      </c>
      <c r="J2">
        <f>'SP3'!B8</f>
        <v>25927.129244</v>
      </c>
      <c r="K2">
        <f>'SP3'!C8</f>
        <v>6117.0624529999996</v>
      </c>
      <c r="L2">
        <f>'SP3'!D8</f>
        <v>-884.986221</v>
      </c>
      <c r="M2">
        <f>'SP3'!E8</f>
        <v>-0.63734900000000005</v>
      </c>
      <c r="N2" s="1">
        <f>J2-($AA$3+$Z$3*$A2+$Y$3*$B2+$X$3*$C2+$W$3*$D2+$V$3*$E2+$U$3*$F2+$T$3*$G2+$S$3*$H2)</f>
        <v>2.4972905521281064E-7</v>
      </c>
      <c r="O2" s="1">
        <f>K2-($AA$4+$Z$4*$A2+$Y$4*$B2+$X$4*$C2+$W$4*$D2+$V$4*$E2+$U$4*$F2+$T$4*$G2+$S$4*$H2)</f>
        <v>3.8130474422359839E-7</v>
      </c>
      <c r="P2" s="1">
        <f>L2-($AA$5+$Z$5*$A2+$Y$5*$B2+$X$5*$C2+$W$5*$D2+$V$5*$E2+$U$5*$F2+$T$5*$G2+$S$5*$H2)</f>
        <v>-2.3537722881883383E-8</v>
      </c>
      <c r="Q2" s="1">
        <f>M2-($AA$6+$Z$6*$A2+$Y$6*$B2+$X$6*$C2+$W$6*$D2+$V$6*$E2+$U$6*$F2+$T$6*$G2+$S$6*$H2)</f>
        <v>1.1692827311948761E-6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'SP3'!A40</f>
        <v>PG07</v>
      </c>
      <c r="J3">
        <f>'SP3'!B40</f>
        <v>25818.579173999999</v>
      </c>
      <c r="K3">
        <f>'SP3'!C40</f>
        <v>6309.3533589999997</v>
      </c>
      <c r="L3">
        <f>'SP3'!D40</f>
        <v>1981.5477579999999</v>
      </c>
      <c r="M3">
        <f>'SP3'!E40</f>
        <v>-0.63756500000000005</v>
      </c>
      <c r="N3" s="1">
        <f t="shared" ref="N3:N12" si="7">J3-($AA$3+$Z$3*$A3+$Y$3*$B3+$X$3*$C3+$W$3*$D3+$V$3*$E3+$U$3*$F3+$T$3*$G3+$S$3*H3)</f>
        <v>-1.994972990360111E-6</v>
      </c>
      <c r="O3" s="1">
        <f t="shared" ref="O3:O12" si="8">K3-($AA$4+$Z$4*$A3+$Y$4*$B3+$X$4*$C3+$W$4*$D3+$V$4*$E3+$U$4*$F3+$T$4*$G3+$S$4*$H3)</f>
        <v>-3.0518176572513767E-6</v>
      </c>
      <c r="P3" s="1">
        <f t="shared" ref="P3:P12" si="9">L3-($AA$5+$Z$5*$A3+$Y$5*$B3+$X$5*$C3+$W$5*$D3+$V$5*$E3+$U$5*$F3+$T$5*$G3+$S$5*$H3)</f>
        <v>1.8556124814494979E-7</v>
      </c>
      <c r="Q3" s="1">
        <f t="shared" ref="Q3:Q12" si="10">M3-($AA$6+$Z$6*$A3+$Y$6*$B3+$X$6*$C3+$W$6*$D3+$V$6*$E3+$U$6*$F3+$T$6*$G3+$S$6*$H3)</f>
        <v>-9.4727532529148561E-6</v>
      </c>
      <c r="R3" s="1"/>
      <c r="S3" s="1">
        <f t="array" ref="S3:AA3">LINEST(J2:J12,A2:H12,TRUE,FALSE)</f>
        <v>1.557549339383949E-2</v>
      </c>
      <c r="T3" s="1">
        <v>-3.4219519555661833E-2</v>
      </c>
      <c r="U3" s="1">
        <v>-1.8533274069614945</v>
      </c>
      <c r="V3">
        <v>4.2871508679322279</v>
      </c>
      <c r="W3">
        <v>91.071718748557331</v>
      </c>
      <c r="X3">
        <v>-123.35968140768891</v>
      </c>
      <c r="Y3">
        <v>-2404.2899557999654</v>
      </c>
      <c r="Z3">
        <v>173.14427302202975</v>
      </c>
      <c r="AA3">
        <v>25927.129243750271</v>
      </c>
    </row>
    <row r="4" spans="1:27">
      <c r="A4">
        <v>0.5</v>
      </c>
      <c r="B4">
        <f t="shared" si="0"/>
        <v>0.25</v>
      </c>
      <c r="C4">
        <f t="shared" si="1"/>
        <v>0.125</v>
      </c>
      <c r="D4">
        <f t="shared" si="2"/>
        <v>6.25E-2</v>
      </c>
      <c r="E4">
        <f t="shared" si="3"/>
        <v>3.125E-2</v>
      </c>
      <c r="F4">
        <f t="shared" si="4"/>
        <v>1.5625E-2</v>
      </c>
      <c r="G4">
        <f t="shared" si="5"/>
        <v>7.8125E-3</v>
      </c>
      <c r="H4">
        <f t="shared" si="6"/>
        <v>3.90625E-3</v>
      </c>
      <c r="I4" t="str">
        <f>'SP3'!A72</f>
        <v>PG07</v>
      </c>
      <c r="J4">
        <f>'SP3'!B72</f>
        <v>25403.005729</v>
      </c>
      <c r="K4">
        <f>'SP3'!C72</f>
        <v>6455.6218600000002</v>
      </c>
      <c r="L4">
        <f>'SP3'!D72</f>
        <v>4814.3245610000004</v>
      </c>
      <c r="M4">
        <f>'SP3'!E72</f>
        <v>-0.63784799999999997</v>
      </c>
      <c r="N4" s="1">
        <f t="shared" si="7"/>
        <v>6.7172186390962452E-6</v>
      </c>
      <c r="O4" s="1">
        <f t="shared" si="8"/>
        <v>1.0307748198101763E-5</v>
      </c>
      <c r="P4" s="1">
        <f t="shared" si="9"/>
        <v>-6.1105492932256311E-7</v>
      </c>
      <c r="Q4" s="1">
        <f t="shared" si="10"/>
        <v>3.2637056442075263E-5</v>
      </c>
      <c r="R4" s="1"/>
      <c r="S4" s="1">
        <f t="array" ref="S4:AA4">LINEST(K2:K12,A2:H12,TRUE,FALSE)</f>
        <v>-1.1451006186536477E-2</v>
      </c>
      <c r="T4" s="1">
        <v>0.27441086485188554</v>
      </c>
      <c r="U4" s="1">
        <v>-0.74008494822635618</v>
      </c>
      <c r="V4">
        <v>-13.264809074564887</v>
      </c>
      <c r="W4">
        <v>27.111017504348496</v>
      </c>
      <c r="X4">
        <v>389.82170231530228</v>
      </c>
      <c r="Y4">
        <v>-669.22468959901084</v>
      </c>
      <c r="Z4">
        <v>911.73481619276697</v>
      </c>
      <c r="AA4">
        <v>6117.0624526186948</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'SP3'!A104</f>
        <v>PG07</v>
      </c>
      <c r="J5">
        <f>'SP3'!B104</f>
        <v>24682.032132</v>
      </c>
      <c r="K5">
        <f>'SP3'!C104</f>
        <v>6594.214747</v>
      </c>
      <c r="L5">
        <f>'SP3'!D104</f>
        <v>7565.0588969999999</v>
      </c>
      <c r="M5">
        <f>'SP3'!E104</f>
        <v>-0.63828300000000004</v>
      </c>
      <c r="N5" s="1">
        <f t="shared" si="7"/>
        <v>-1.188542228192091E-5</v>
      </c>
      <c r="O5" s="1">
        <f t="shared" si="8"/>
        <v>-1.8352810002397746E-5</v>
      </c>
      <c r="P5" s="1">
        <f t="shared" si="9"/>
        <v>1.0321891750209033E-6</v>
      </c>
      <c r="Q5" s="1">
        <f t="shared" si="10"/>
        <v>-6.039126198853495E-5</v>
      </c>
      <c r="R5" s="1"/>
      <c r="S5" s="1">
        <f t="array" ref="S5:AA5">LINEST(L2:L12,A2:H12,TRUE,FALSE)</f>
        <v>7.0507998566681103E-4</v>
      </c>
      <c r="T5" s="1">
        <v>-4.2918144770863517E-2</v>
      </c>
      <c r="U5" s="1">
        <v>3.9546679055527223E-2</v>
      </c>
      <c r="V5">
        <v>6.8849878298630225</v>
      </c>
      <c r="W5">
        <v>-2.7966155124448187</v>
      </c>
      <c r="X5">
        <v>-521.61182627965582</v>
      </c>
      <c r="Y5">
        <v>120.75914977405699</v>
      </c>
      <c r="Z5">
        <v>11468.563641311464</v>
      </c>
      <c r="AA5">
        <v>-884.98622097646228</v>
      </c>
    </row>
    <row r="6" spans="1:27">
      <c r="A6">
        <v>1</v>
      </c>
      <c r="B6">
        <f t="shared" si="0"/>
        <v>1</v>
      </c>
      <c r="C6">
        <f t="shared" si="1"/>
        <v>1</v>
      </c>
      <c r="D6">
        <f t="shared" si="2"/>
        <v>1</v>
      </c>
      <c r="E6">
        <f t="shared" si="3"/>
        <v>1</v>
      </c>
      <c r="F6">
        <f t="shared" si="4"/>
        <v>1</v>
      </c>
      <c r="G6">
        <f t="shared" si="5"/>
        <v>1</v>
      </c>
      <c r="H6">
        <f t="shared" si="6"/>
        <v>1</v>
      </c>
      <c r="I6" t="str">
        <f>'SP3'!A136</f>
        <v>PG07</v>
      </c>
      <c r="J6">
        <f>'SP3'!B136</f>
        <v>23666.110788000002</v>
      </c>
      <c r="K6">
        <f>'SP3'!C136</f>
        <v>6762.7633809999998</v>
      </c>
      <c r="L6">
        <f>'SP3'!D136</f>
        <v>10186.810449000001</v>
      </c>
      <c r="M6">
        <f>'SP3'!E136</f>
        <v>-0.63838200000000001</v>
      </c>
      <c r="N6" s="1">
        <f t="shared" si="7"/>
        <v>1.0251991625409573E-5</v>
      </c>
      <c r="O6" s="1">
        <f t="shared" si="8"/>
        <v>1.6132024938997347E-5</v>
      </c>
      <c r="P6" s="1">
        <f t="shared" si="9"/>
        <v>-7.6109245128463954E-7</v>
      </c>
      <c r="Q6" s="1">
        <f t="shared" si="10"/>
        <v>5.9063153564964388E-5</v>
      </c>
      <c r="R6" s="1"/>
      <c r="S6" s="1">
        <f t="array" ref="S6:AA6">LINEST(M2:M12,A2:H12,TRUE,FALSE)</f>
        <v>1.1028745196336516E-3</v>
      </c>
      <c r="T6" s="1">
        <v>-1.0535771900350509E-2</v>
      </c>
      <c r="U6" s="1">
        <v>4.0671117165504291E-2</v>
      </c>
      <c r="V6">
        <v>-8.1076058617205696E-2</v>
      </c>
      <c r="W6">
        <v>8.815303584457769E-2</v>
      </c>
      <c r="X6">
        <v>-5.0297121600396066E-2</v>
      </c>
      <c r="Y6">
        <v>1.2889057728772137E-2</v>
      </c>
      <c r="Z6">
        <v>-1.9980270113691798E-3</v>
      </c>
      <c r="AA6">
        <v>-0.63735016928273125</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'SP3'!B170</f>
        <v>22374.205844</v>
      </c>
      <c r="K7">
        <f>'SP3'!C170</f>
        <v>6996.56297</v>
      </c>
      <c r="L7">
        <f>'SP3'!D170</f>
        <v>12634.765455999999</v>
      </c>
      <c r="M7">
        <f>'SP3'!E170</f>
        <v>-0.63868400000000003</v>
      </c>
      <c r="N7" s="1">
        <f t="shared" si="7"/>
        <v>3.5463381209410727E-7</v>
      </c>
      <c r="O7" s="1">
        <f t="shared" si="8"/>
        <v>-1.7594993551028892E-7</v>
      </c>
      <c r="P7" s="1">
        <f t="shared" si="9"/>
        <v>-3.409895725781098E-7</v>
      </c>
      <c r="Q7" s="1">
        <f t="shared" si="10"/>
        <v>-1.4929918378592255E-5</v>
      </c>
    </row>
    <row r="8" spans="1:27">
      <c r="A8">
        <v>1.5</v>
      </c>
      <c r="B8">
        <f t="shared" si="0"/>
        <v>2.25</v>
      </c>
      <c r="C8">
        <f t="shared" si="1"/>
        <v>3.375</v>
      </c>
      <c r="D8">
        <f t="shared" si="2"/>
        <v>5.0625</v>
      </c>
      <c r="E8">
        <f t="shared" si="3"/>
        <v>7.59375</v>
      </c>
      <c r="F8">
        <f t="shared" si="4"/>
        <v>11.390625</v>
      </c>
      <c r="G8">
        <f t="shared" si="5"/>
        <v>17.0859375</v>
      </c>
      <c r="H8">
        <f t="shared" si="6"/>
        <v>25.62890625</v>
      </c>
      <c r="J8">
        <f>'SP3'!B202</f>
        <v>20833.164398000001</v>
      </c>
      <c r="K8">
        <f>'SP3'!C202</f>
        <v>7327.042297</v>
      </c>
      <c r="L8">
        <f>'SP3'!D202</f>
        <v>14866.987660999999</v>
      </c>
      <c r="M8">
        <f>'SP3'!E202</f>
        <v>-0.63900900000000005</v>
      </c>
      <c r="N8" s="1">
        <f t="shared" si="7"/>
        <v>-1.0843028576346114E-5</v>
      </c>
      <c r="O8" s="1">
        <f t="shared" si="8"/>
        <v>-1.5838770195841789E-5</v>
      </c>
      <c r="P8" s="1">
        <f t="shared" si="9"/>
        <v>1.3294047676026821E-6</v>
      </c>
      <c r="Q8" s="1">
        <f t="shared" si="10"/>
        <v>-3.4179956266533473E-5</v>
      </c>
      <c r="W8">
        <f t="array" ref="W8:AA8">LINEST(J2:J6,A2:D6,TRUE,FALSE)</f>
        <v>94.17794133342754</v>
      </c>
      <c r="X8">
        <v>-123.95253333352925</v>
      </c>
      <c r="Y8">
        <v>-2404.4254493332037</v>
      </c>
      <c r="Z8">
        <v>173.18158533330686</v>
      </c>
      <c r="AA8">
        <v>25927.129243999992</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'SP3'!B234</f>
        <v>19076.798535000002</v>
      </c>
      <c r="K9">
        <f>'SP3'!C234</f>
        <v>7780.3823350000002</v>
      </c>
      <c r="L9">
        <f>'SP3'!D234</f>
        <v>16845.127</v>
      </c>
      <c r="M9">
        <f>'SP3'!E234</f>
        <v>-0.63919400000000004</v>
      </c>
      <c r="N9" s="1">
        <f t="shared" si="7"/>
        <v>1.2223168596392497E-5</v>
      </c>
      <c r="O9" s="1">
        <f t="shared" si="8"/>
        <v>1.8185241060564294E-5</v>
      </c>
      <c r="P9" s="1">
        <f t="shared" si="9"/>
        <v>-1.3569479051511735E-6</v>
      </c>
      <c r="Q9" s="1">
        <f t="shared" si="10"/>
        <v>4.6172292104573742E-5</v>
      </c>
      <c r="W9">
        <f t="array" ref="W9:AA9">LINEST(K2:K6,A2:D6,TRUE,FALSE)</f>
        <v>-7.6312533333145893</v>
      </c>
      <c r="X9">
        <v>420.47931733329381</v>
      </c>
      <c r="Y9">
        <v>-680.20005466664247</v>
      </c>
      <c r="Z9">
        <v>913.05291866666346</v>
      </c>
      <c r="AA9">
        <v>6117.0624530000005</v>
      </c>
    </row>
    <row r="10" spans="1:27">
      <c r="A10">
        <v>2</v>
      </c>
      <c r="B10">
        <f t="shared" si="0"/>
        <v>4</v>
      </c>
      <c r="C10">
        <f t="shared" si="1"/>
        <v>8</v>
      </c>
      <c r="D10">
        <f t="shared" si="2"/>
        <v>16</v>
      </c>
      <c r="E10">
        <f t="shared" si="3"/>
        <v>32</v>
      </c>
      <c r="F10">
        <f t="shared" si="4"/>
        <v>64</v>
      </c>
      <c r="G10">
        <f t="shared" si="5"/>
        <v>128</v>
      </c>
      <c r="H10">
        <f t="shared" si="6"/>
        <v>256</v>
      </c>
      <c r="J10">
        <f>'SP3'!B266</f>
        <v>17144.71111</v>
      </c>
      <c r="K10">
        <f>'SP3'!C266</f>
        <v>8376.3370209999994</v>
      </c>
      <c r="L10">
        <f>'SP3'!D266</f>
        <v>18535.074778999999</v>
      </c>
      <c r="M10">
        <f>'SP3'!E266</f>
        <v>-0.63947100000000001</v>
      </c>
      <c r="N10" s="1">
        <f t="shared" si="7"/>
        <v>-6.8438712332863361E-6</v>
      </c>
      <c r="O10" s="1">
        <f t="shared" si="8"/>
        <v>-1.0244906661682762E-5</v>
      </c>
      <c r="P10" s="1">
        <f t="shared" si="9"/>
        <v>7.3283445090055466E-7</v>
      </c>
      <c r="Q10" s="1">
        <f t="shared" si="10"/>
        <v>-2.7304942735173476E-5</v>
      </c>
      <c r="W10">
        <f t="array" ref="W10:AA10">LINEST(L2:L6,A2:D6,TRUE,FALSE)</f>
        <v>14.346389333315038</v>
      </c>
      <c r="X10">
        <v>-536.56268799996224</v>
      </c>
      <c r="Y10">
        <v>126.08806266664224</v>
      </c>
      <c r="Z10">
        <v>11467.924906000006</v>
      </c>
      <c r="AA10">
        <v>-884.98622099999955</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'SP3'!B298</f>
        <v>15080.907848999999</v>
      </c>
      <c r="K11">
        <f>'SP3'!C298</f>
        <v>9127.3023819999999</v>
      </c>
      <c r="L11">
        <f>'SP3'!D298</f>
        <v>19907.554454000001</v>
      </c>
      <c r="M11">
        <f>'SP3'!E298</f>
        <v>-0.639849</v>
      </c>
      <c r="N11" s="1">
        <f t="shared" si="7"/>
        <v>2.0231236703693867E-6</v>
      </c>
      <c r="O11" s="1">
        <f t="shared" si="8"/>
        <v>3.037857823073864E-6</v>
      </c>
      <c r="P11" s="1">
        <f t="shared" si="9"/>
        <v>-2.1262894733808935E-7</v>
      </c>
      <c r="Q11" s="1">
        <f t="shared" si="10"/>
        <v>8.2878390954554959E-6</v>
      </c>
      <c r="W11">
        <f t="array" ref="W11:AA11">LINEST(M2:M6,A2:D6,TRUE,FALSE)</f>
        <v>6.1120000000051593E-3</v>
      </c>
      <c r="X11">
        <v>-1.0074666666676748E-2</v>
      </c>
      <c r="Y11">
        <v>4.3460000000058495E-3</v>
      </c>
      <c r="Z11">
        <v>-1.4163333333342134E-3</v>
      </c>
      <c r="AA11">
        <v>-0.63734900000000005</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'SP3'!B330</f>
        <v>12932.246639000001</v>
      </c>
      <c r="K12">
        <f>'SP3'!C330</f>
        <v>10037.671340999999</v>
      </c>
      <c r="L12">
        <f>'SP3'!D330</f>
        <v>20938.637742999999</v>
      </c>
      <c r="M12">
        <f>'SP3'!E330</f>
        <v>-0.639988</v>
      </c>
      <c r="N12" s="1">
        <f t="shared" si="7"/>
        <v>-2.5254121283069253E-7</v>
      </c>
      <c r="O12" s="1">
        <f t="shared" si="8"/>
        <v>-3.7990503187756985E-7</v>
      </c>
      <c r="P12" s="1">
        <f t="shared" si="9"/>
        <v>2.6240741135552526E-8</v>
      </c>
      <c r="Q12" s="1">
        <f t="shared" si="10"/>
        <v>-1.0507913150714643E-6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Foglio5"/>
  <dimension ref="A1:AA12"/>
  <sheetViews>
    <sheetView workbookViewId="0">
      <selection activeCell="N1" sqref="N1:AB12"/>
    </sheetView>
  </sheetViews>
  <sheetFormatPr defaultRowHeight="15"/>
  <cols>
    <col min="9" max="10" width="12.7109375" bestFit="1" customWidth="1"/>
    <col min="11" max="11" width="9.5703125" bestFit="1" customWidth="1"/>
    <col min="12" max="12" width="9.42578125" bestFit="1" customWidth="1"/>
    <col min="13" max="13"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'SP3'!A9</f>
        <v>PG08</v>
      </c>
      <c r="J2">
        <f>'SP3'!B9</f>
        <v>23585.088340999999</v>
      </c>
      <c r="K2">
        <f>'SP3'!C9</f>
        <v>-866.87332500000002</v>
      </c>
      <c r="L2">
        <f>'SP3'!D9</f>
        <v>-12716.127805</v>
      </c>
      <c r="M2">
        <f>'SP3'!E9</f>
        <v>5.4542659999999996</v>
      </c>
      <c r="N2" s="1">
        <f>J2-($AA$3+$Z$3*$A2+$Y$3*$B2+$X$3*$C2+$W$3*$D2+$V$3*$E2+$U$3*$F2+$T$3*$G2+$S$3*$H2)</f>
        <v>9.5678842626512051E-10</v>
      </c>
      <c r="O2" s="1">
        <f>K2-($AA$4+$Z$4*$A2+$Y$4*$B2+$X$4*$C2+$W$4*$D2+$V$4*$E2+$U$4*$F2+$T$4*$G2+$S$4*$H2)</f>
        <v>3.0445494303421583E-7</v>
      </c>
      <c r="P2" s="1">
        <f>L2-($AA$5+$Z$5*$A2+$Y$5*$B2+$X$5*$C2+$W$5*$D2+$V$5*$E2+$U$5*$F2+$T$5*$G2+$S$5*$H2)</f>
        <v>4.5383785618469119E-8</v>
      </c>
      <c r="Q2" s="1">
        <f>M2-($AA$6+$Z$6*$A2+$Y$6*$B2+$X$6*$C2+$W$6*$D2+$V$6*$E2+$U$6*$F2+$T$6*$G2+$S$6*$H2)</f>
        <v>5.0256013315319592E-6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'SP3'!A41</f>
        <v>PG08</v>
      </c>
      <c r="J3">
        <f>'SP3'!B41</f>
        <v>24792.258682</v>
      </c>
      <c r="K3">
        <f>'SP3'!C41</f>
        <v>-399.03470199999998</v>
      </c>
      <c r="L3">
        <f>'SP3'!D41</f>
        <v>-10241.056966</v>
      </c>
      <c r="M3">
        <f>'SP3'!E41</f>
        <v>5.4548360000000002</v>
      </c>
      <c r="N3" s="1">
        <f t="shared" ref="N3:N12" si="7">J3-($AA$3+$Z$3*$A3+$Y$3*$B3+$X$3*$C3+$W$3*$D3+$V$3*$E3+$U$3*$F3+$T$3*$G3+$S$3*H3)</f>
        <v>-4.791218088939786E-9</v>
      </c>
      <c r="O3" s="1">
        <f t="shared" ref="O3:O12" si="8">K3-($AA$4+$Z$4*$A3+$Y$4*$B3+$X$4*$C3+$W$4*$D3+$V$4*$E3+$U$4*$F3+$T$4*$G3+$S$4*$H3)</f>
        <v>-2.4355484242732928E-6</v>
      </c>
      <c r="P3" s="1">
        <f t="shared" ref="P3:P12" si="9">L3-($AA$5+$Z$5*$A3+$Y$5*$B3+$X$5*$C3+$W$5*$D3+$V$5*$E3+$U$5*$F3+$T$5*$G3+$S$5*$H3)</f>
        <v>-3.6134406400378793E-7</v>
      </c>
      <c r="Q3" s="1">
        <f t="shared" ref="Q3:Q12" si="10">M3-($AA$6+$Z$6*$A3+$Y$6*$B3+$X$6*$C3+$W$6*$D3+$V$6*$E3+$U$6*$F3+$T$6*$G3+$S$6*$H3)</f>
        <v>-3.9282751302494034E-5</v>
      </c>
      <c r="R3" s="1"/>
      <c r="S3" s="1">
        <f t="array" ref="S3:AA3">LINEST(J2:J12,A2:H12,TRUE,FALSE)</f>
        <v>1.5456411662253138E-2</v>
      </c>
      <c r="T3" s="1">
        <v>-0.14890572783265132</v>
      </c>
      <c r="U3" s="1">
        <v>-1.1299315992566761</v>
      </c>
      <c r="V3">
        <v>11.08260713201661</v>
      </c>
      <c r="W3">
        <v>59.824357140706574</v>
      </c>
      <c r="X3">
        <v>-394.53658252229042</v>
      </c>
      <c r="Y3">
        <v>-1776.3256878830971</v>
      </c>
      <c r="Z3">
        <v>5296.4444142463653</v>
      </c>
      <c r="AA3">
        <v>23585.088340999042</v>
      </c>
    </row>
    <row r="4" spans="1:27">
      <c r="A4">
        <v>0.5</v>
      </c>
      <c r="B4">
        <f t="shared" si="0"/>
        <v>0.25</v>
      </c>
      <c r="C4">
        <f t="shared" si="1"/>
        <v>0.125</v>
      </c>
      <c r="D4">
        <f t="shared" si="2"/>
        <v>6.25E-2</v>
      </c>
      <c r="E4">
        <f t="shared" si="3"/>
        <v>3.125E-2</v>
      </c>
      <c r="F4">
        <f t="shared" si="4"/>
        <v>1.5625E-2</v>
      </c>
      <c r="G4">
        <f t="shared" si="5"/>
        <v>7.8125E-3</v>
      </c>
      <c r="H4">
        <f t="shared" si="6"/>
        <v>3.90625E-3</v>
      </c>
      <c r="I4" t="str">
        <f>'SP3'!A73</f>
        <v>PG08</v>
      </c>
      <c r="J4">
        <f>'SP3'!B73</f>
        <v>25743.978649000001</v>
      </c>
      <c r="K4">
        <f>'SP3'!C73</f>
        <v>-68.121329000000003</v>
      </c>
      <c r="L4">
        <f>'SP3'!D73</f>
        <v>-7594.9125999999997</v>
      </c>
      <c r="M4">
        <f>'SP3'!E73</f>
        <v>5.4541839999999997</v>
      </c>
      <c r="N4" s="1">
        <f t="shared" si="7"/>
        <v>3.0195224098861217E-10</v>
      </c>
      <c r="O4" s="1">
        <f t="shared" si="8"/>
        <v>8.2194241031174897E-6</v>
      </c>
      <c r="P4" s="1">
        <f t="shared" si="9"/>
        <v>1.2095406418666244E-6</v>
      </c>
      <c r="Q4" s="1">
        <f t="shared" si="10"/>
        <v>1.2739270172534845E-4</v>
      </c>
      <c r="R4" s="1"/>
      <c r="S4" s="1">
        <f t="array" ref="S4:AA4">LINEST(K2:K12,A2:H12,TRUE,FALSE)</f>
        <v>-3.2567819764725678E-4</v>
      </c>
      <c r="T4" s="1">
        <v>0.18714949383677634</v>
      </c>
      <c r="U4" s="1">
        <v>-1.5513866260451348</v>
      </c>
      <c r="V4">
        <v>-8.6969670117826912</v>
      </c>
      <c r="W4">
        <v>73.747737657307496</v>
      </c>
      <c r="X4">
        <v>238.20968499577751</v>
      </c>
      <c r="Y4">
        <v>-1304.1092952463332</v>
      </c>
      <c r="Z4">
        <v>2181.3768549409406</v>
      </c>
      <c r="AA4">
        <v>-866.87332530445497</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'SP3'!A105</f>
        <v>PG08</v>
      </c>
      <c r="J5">
        <f>'SP3'!B105</f>
        <v>26413.132654000001</v>
      </c>
      <c r="K5">
        <f>'SP3'!C105</f>
        <v>157.111783</v>
      </c>
      <c r="L5">
        <f>'SP3'!D105</f>
        <v>-4822.089954</v>
      </c>
      <c r="M5">
        <f>'SP3'!E105</f>
        <v>5.4539879999999998</v>
      </c>
      <c r="N5" s="1">
        <f t="shared" si="7"/>
        <v>5.5992131819948554E-8</v>
      </c>
      <c r="O5" s="1">
        <f t="shared" si="8"/>
        <v>-1.4610362285338852E-5</v>
      </c>
      <c r="P5" s="1">
        <f t="shared" si="9"/>
        <v>-2.1147889128769748E-6</v>
      </c>
      <c r="Q5" s="1">
        <f t="shared" si="10"/>
        <v>-2.0803472688157854E-4</v>
      </c>
      <c r="R5" s="1"/>
      <c r="S5" s="1">
        <f t="array" ref="S5:AA5">LINEST(L2:L12,A2:H12,TRUE,FALSE)</f>
        <v>-2.3756458121778625E-4</v>
      </c>
      <c r="T5" s="1">
        <v>-1.7716458017945816E-2</v>
      </c>
      <c r="U5" s="1">
        <v>0.16222078448305108</v>
      </c>
      <c r="V5">
        <v>5.5759552904534404</v>
      </c>
      <c r="W5">
        <v>-35.130353731579802</v>
      </c>
      <c r="X5">
        <v>-429.77319575739625</v>
      </c>
      <c r="Y5">
        <v>1704.9622156536759</v>
      </c>
      <c r="Z5">
        <v>9501.4306050711093</v>
      </c>
      <c r="AA5">
        <v>-12716.127805045384</v>
      </c>
    </row>
    <row r="6" spans="1:27">
      <c r="A6">
        <v>1</v>
      </c>
      <c r="B6">
        <f t="shared" si="0"/>
        <v>1</v>
      </c>
      <c r="C6">
        <f t="shared" si="1"/>
        <v>1</v>
      </c>
      <c r="D6">
        <f t="shared" si="2"/>
        <v>1</v>
      </c>
      <c r="E6">
        <f t="shared" si="3"/>
        <v>1</v>
      </c>
      <c r="F6">
        <f t="shared" si="4"/>
        <v>1</v>
      </c>
      <c r="G6">
        <f t="shared" si="5"/>
        <v>1</v>
      </c>
      <c r="H6">
        <f t="shared" si="6"/>
        <v>1</v>
      </c>
      <c r="I6" t="str">
        <f>'SP3'!A137</f>
        <v>PG08</v>
      </c>
      <c r="J6">
        <f>'SP3'!B137</f>
        <v>26780.314068</v>
      </c>
      <c r="K6">
        <f>'SP3'!C137</f>
        <v>312.29014000000001</v>
      </c>
      <c r="L6">
        <f>'SP3'!D137</f>
        <v>-1968.91831</v>
      </c>
      <c r="M6">
        <f>'SP3'!E137</f>
        <v>5.4546770000000002</v>
      </c>
      <c r="N6" s="1">
        <f t="shared" si="7"/>
        <v>-1.9731305656023324E-7</v>
      </c>
      <c r="O6" s="1">
        <f t="shared" si="8"/>
        <v>1.2778951315794984E-5</v>
      </c>
      <c r="P6" s="1">
        <f t="shared" si="9"/>
        <v>1.75723744177958E-6</v>
      </c>
      <c r="Q6" s="1">
        <f t="shared" si="10"/>
        <v>1.3362226937196908E-4</v>
      </c>
      <c r="R6" s="1"/>
      <c r="S6" s="1">
        <f t="array" ref="S6:AA6">LINEST(M2:M12,A2:H12,TRUE,FALSE)</f>
        <v>-2.1703324979024225E-3</v>
      </c>
      <c r="T6" s="1">
        <v>2.3579415361841691E-2</v>
      </c>
      <c r="U6" s="1">
        <v>-0.10641698080456478</v>
      </c>
      <c r="V6">
        <v>0.25791578617045074</v>
      </c>
      <c r="W6">
        <v>-0.36050648916301536</v>
      </c>
      <c r="X6">
        <v>0.28724329081452665</v>
      </c>
      <c r="Y6">
        <v>-0.11812072432486809</v>
      </c>
      <c r="Z6">
        <v>1.8758437775491243E-2</v>
      </c>
      <c r="AA6">
        <v>5.4542609743986681</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'SP3'!B171</f>
        <v>26834.504443999998</v>
      </c>
      <c r="K7">
        <f>'SP3'!C171</f>
        <v>435.90979800000002</v>
      </c>
      <c r="L7">
        <f>'SP3'!D171</f>
        <v>917.04506900000001</v>
      </c>
      <c r="M7">
        <f>'SP3'!E171</f>
        <v>5.4547879999999997</v>
      </c>
      <c r="N7" s="1">
        <f t="shared" si="7"/>
        <v>3.5600169212557375E-7</v>
      </c>
      <c r="O7" s="1">
        <f t="shared" si="8"/>
        <v>1.2275904737180099E-8</v>
      </c>
      <c r="P7" s="1">
        <f t="shared" si="9"/>
        <v>2.2369033558788942E-7</v>
      </c>
      <c r="Q7" s="1">
        <f t="shared" si="10"/>
        <v>1.1617947996178657E-4</v>
      </c>
    </row>
    <row r="8" spans="1:27">
      <c r="A8">
        <v>1.5</v>
      </c>
      <c r="B8">
        <f t="shared" si="0"/>
        <v>2.25</v>
      </c>
      <c r="C8">
        <f t="shared" si="1"/>
        <v>3.375</v>
      </c>
      <c r="D8">
        <f t="shared" si="2"/>
        <v>5.0625</v>
      </c>
      <c r="E8">
        <f t="shared" si="3"/>
        <v>7.59375</v>
      </c>
      <c r="F8">
        <f t="shared" si="4"/>
        <v>11.390625</v>
      </c>
      <c r="G8">
        <f t="shared" si="5"/>
        <v>17.0859375</v>
      </c>
      <c r="H8">
        <f t="shared" si="6"/>
        <v>25.62890625</v>
      </c>
      <c r="J8">
        <f>'SP3'!B203</f>
        <v>26573.461864000001</v>
      </c>
      <c r="K8">
        <f>'SP3'!C203</f>
        <v>567.72706000000005</v>
      </c>
      <c r="L8">
        <f>'SP3'!D203</f>
        <v>3787.7325500000002</v>
      </c>
      <c r="M8">
        <f>'SP3'!E203</f>
        <v>5.4543270000000001</v>
      </c>
      <c r="N8" s="1">
        <f t="shared" si="7"/>
        <v>-3.9600126910954714E-7</v>
      </c>
      <c r="O8" s="1">
        <f t="shared" si="8"/>
        <v>-1.279941068332846E-5</v>
      </c>
      <c r="P8" s="1">
        <f t="shared" si="9"/>
        <v>-2.130052507709479E-6</v>
      </c>
      <c r="Q8" s="1">
        <f t="shared" si="10"/>
        <v>-3.272547359749467E-4</v>
      </c>
      <c r="W8">
        <f t="array" ref="W8:AA8">LINEST(J2:J6,A2:D6,TRUE,FALSE)</f>
        <v>82.228895999948492</v>
      </c>
      <c r="X8">
        <v>-412.57628266656837</v>
      </c>
      <c r="Y8">
        <v>-1770.1459220000561</v>
      </c>
      <c r="Z8">
        <v>5295.7190356666761</v>
      </c>
      <c r="AA8">
        <v>23585.088340999995</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'SP3'!B235</f>
        <v>26003.805906000001</v>
      </c>
      <c r="K9">
        <f>'SP3'!C235</f>
        <v>747.10366199999999</v>
      </c>
      <c r="L9">
        <f>'SP3'!D235</f>
        <v>6595.2891950000003</v>
      </c>
      <c r="M9">
        <f>'SP3'!E235</f>
        <v>5.4548500000000004</v>
      </c>
      <c r="N9" s="1">
        <f t="shared" si="7"/>
        <v>2.8305657906457782E-7</v>
      </c>
      <c r="O9" s="1">
        <f t="shared" si="8"/>
        <v>1.4622052844970312E-5</v>
      </c>
      <c r="P9" s="1">
        <f t="shared" si="9"/>
        <v>2.3278253138414584E-6</v>
      </c>
      <c r="Q9" s="1">
        <f t="shared" si="10"/>
        <v>3.1868185065686561E-4</v>
      </c>
      <c r="W9">
        <f t="array" ref="W9:AA9">LINEST(K2:K6,A2:D6,TRUE,FALSE)</f>
        <v>46.725514666668687</v>
      </c>
      <c r="X9">
        <v>263.19161066666334</v>
      </c>
      <c r="Y9">
        <v>-1313.2381206666653</v>
      </c>
      <c r="Z9">
        <v>2182.4844603333331</v>
      </c>
      <c r="AA9">
        <v>-866.8733249999998</v>
      </c>
    </row>
    <row r="10" spans="1:27">
      <c r="A10">
        <v>2</v>
      </c>
      <c r="B10">
        <f t="shared" si="0"/>
        <v>4</v>
      </c>
      <c r="C10">
        <f t="shared" si="1"/>
        <v>8</v>
      </c>
      <c r="D10">
        <f t="shared" si="2"/>
        <v>16</v>
      </c>
      <c r="E10">
        <f t="shared" si="3"/>
        <v>32</v>
      </c>
      <c r="F10">
        <f t="shared" si="4"/>
        <v>64</v>
      </c>
      <c r="G10">
        <f t="shared" si="5"/>
        <v>128</v>
      </c>
      <c r="H10">
        <f t="shared" si="6"/>
        <v>256</v>
      </c>
      <c r="J10">
        <f>'SP3'!B267</f>
        <v>25140.796186</v>
      </c>
      <c r="K10">
        <f>'SP3'!C267</f>
        <v>1011.364551</v>
      </c>
      <c r="L10">
        <f>'SP3'!D267</f>
        <v>9292.7952170000008</v>
      </c>
      <c r="M10">
        <f>'SP3'!E267</f>
        <v>5.4541469999999999</v>
      </c>
      <c r="N10" s="1">
        <f t="shared" si="7"/>
        <v>-1.2743112165480852E-7</v>
      </c>
      <c r="O10" s="1">
        <f t="shared" si="8"/>
        <v>-8.2238086633878993E-6</v>
      </c>
      <c r="P10" s="1">
        <f t="shared" si="9"/>
        <v>-1.2894288374809548E-6</v>
      </c>
      <c r="Q10" s="1">
        <f t="shared" si="10"/>
        <v>-1.6888537314052599E-4</v>
      </c>
      <c r="W10">
        <f t="array" ref="W10:AA10">LINEST(L2:L6,A2:D6,TRUE,FALSE)</f>
        <v>-20.629706666648172</v>
      </c>
      <c r="X10">
        <v>-442.60474133337806</v>
      </c>
      <c r="Y10">
        <v>1709.5672686667024</v>
      </c>
      <c r="Z10">
        <v>9500.8766743333235</v>
      </c>
      <c r="AA10">
        <v>-12716.127805</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'SP3'!B299</f>
        <v>24007.811008000001</v>
      </c>
      <c r="K11">
        <f>'SP3'!C299</f>
        <v>1394.22516</v>
      </c>
      <c r="L11">
        <f>'SP3'!D299</f>
        <v>11834.981661</v>
      </c>
      <c r="M11">
        <f>'SP3'!E299</f>
        <v>5.4544920000000001</v>
      </c>
      <c r="N11" s="1">
        <f t="shared" si="7"/>
        <v>3.3051037462428212E-8</v>
      </c>
      <c r="O11" s="1">
        <f t="shared" si="8"/>
        <v>2.4365226636291482E-6</v>
      </c>
      <c r="P11" s="1">
        <f t="shared" si="9"/>
        <v>3.7909921957179904E-7</v>
      </c>
      <c r="Q11" s="1">
        <f t="shared" si="10"/>
        <v>4.8503344954653471E-5</v>
      </c>
      <c r="W11">
        <f t="array" ref="W11:AA11">LINEST(M2:M6,A2:D6,TRUE,FALSE)</f>
        <v>-1.3322666666690713E-2</v>
      </c>
      <c r="X11">
        <v>3.7882666666722263E-2</v>
      </c>
      <c r="Y11">
        <v>-3.2359333333373756E-2</v>
      </c>
      <c r="Z11">
        <v>8.2103333333428154E-3</v>
      </c>
      <c r="AA11">
        <v>5.4542660000000005</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'SP3'!B331</f>
        <v>22635.542090999999</v>
      </c>
      <c r="K12">
        <f>'SP3'!C331</f>
        <v>1924.343402</v>
      </c>
      <c r="L12">
        <f>'SP3'!D331</f>
        <v>14178.932734</v>
      </c>
      <c r="M12">
        <f>'SP3'!E331</f>
        <v>5.4552370000000003</v>
      </c>
      <c r="N12" s="1">
        <f t="shared" si="7"/>
        <v>-3.7725840229541063E-9</v>
      </c>
      <c r="O12" s="1">
        <f t="shared" si="8"/>
        <v>-3.0455271371465642E-7</v>
      </c>
      <c r="P12" s="1">
        <f t="shared" si="9"/>
        <v>-4.7166395233944058E-8</v>
      </c>
      <c r="Q12" s="1">
        <f t="shared" si="10"/>
        <v>-5.947660691063561E-6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Foglio6"/>
  <dimension ref="A1:AA12"/>
  <sheetViews>
    <sheetView workbookViewId="0">
      <selection activeCell="N1" sqref="N1:AB12"/>
    </sheetView>
  </sheetViews>
  <sheetFormatPr defaultRowHeight="15"/>
  <cols>
    <col min="12" max="13" width="12.7109375" bestFit="1" customWidth="1"/>
    <col min="14" max="14" width="9.5703125" bestFit="1" customWidth="1"/>
    <col min="15" max="15" width="9.42578125" bestFit="1" customWidth="1"/>
    <col min="16" max="16"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'SP3'!A11</f>
        <v>PG10</v>
      </c>
      <c r="J2">
        <f>'SP3'!B11</f>
        <v>6480.1217120000001</v>
      </c>
      <c r="K2">
        <f>'SP3'!C11</f>
        <v>-20001.969723999999</v>
      </c>
      <c r="L2">
        <f>'SP3'!D11</f>
        <v>15830.005010000001</v>
      </c>
      <c r="M2">
        <f>'SP3'!E11</f>
        <v>-43.000362000000003</v>
      </c>
      <c r="N2" s="1">
        <f>J2-($AA$3+$Z$3*$A2+$Y$3*$B2+$X$3*$C2+$W$3*$D2+$V$3*$E2+$U$3*$F2+$T$3*$G2+$S$3*$H2)</f>
        <v>-4.6329205360962078E-7</v>
      </c>
      <c r="O2" s="1">
        <f>K2-($AA$4+$Z$4*$A2+$Y$4*$B2+$X$4*$C2+$W$4*$D2+$V$4*$E2+$U$4*$F2+$T$4*$G2+$S$4*$H2)</f>
        <v>-4.9284062697552145E-7</v>
      </c>
      <c r="P2" s="1">
        <f>L2-($AA$5+$Z$5*$A2+$Y$5*$B2+$X$5*$C2+$W$5*$D2+$V$5*$E2+$U$5*$F2+$T$5*$G2+$S$5*$H2)</f>
        <v>1.0159237717743963E-7</v>
      </c>
      <c r="Q2" s="1">
        <f>M2-($AA$6+$Z$6*$A2+$Y$6*$B2+$X$6*$C2+$W$6*$D2+$V$6*$E2+$U$6*$F2+$T$6*$G2+$S$6*$H2)</f>
        <v>3.3958193625949207E-6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'SP3'!A43</f>
        <v>PG10</v>
      </c>
      <c r="J3">
        <f>'SP3'!B43</f>
        <v>7216.5738590000001</v>
      </c>
      <c r="K3">
        <f>'SP3'!C43</f>
        <v>-18174.383588000001</v>
      </c>
      <c r="L3">
        <f>'SP3'!D43</f>
        <v>17625.254464000001</v>
      </c>
      <c r="M3">
        <f>'SP3'!E43</f>
        <v>-43.000503000000002</v>
      </c>
      <c r="N3" s="1">
        <f t="shared" ref="N3:N12" si="7">J3-($AA$3+$Z$3*$A3+$Y$3*$B3+$X$3*$C3+$W$3*$D3+$V$3*$E3+$U$3*$F3+$T$3*$G3+$S$3*H3)</f>
        <v>3.7001755117671564E-6</v>
      </c>
      <c r="O3" s="1">
        <f t="shared" ref="O3:O12" si="8">K3-($AA$4+$Z$4*$A3+$Y$4*$B3+$X$4*$C3+$W$4*$D3+$V$4*$E3+$U$4*$F3+$T$4*$G3+$S$4*$H3)</f>
        <v>3.9504593587480485E-6</v>
      </c>
      <c r="P3" s="1">
        <f t="shared" ref="P3:P12" si="9">L3-($AA$5+$Z$5*$A3+$Y$5*$B3+$X$5*$C3+$W$5*$D3+$V$5*$E3+$U$5*$F3+$T$5*$G3+$S$5*$H3)</f>
        <v>-8.1087637227028608E-7</v>
      </c>
      <c r="Q3" s="1">
        <f t="shared" ref="Q3:Q12" si="10">M3-($AA$6+$Z$6*$A3+$Y$6*$B3+$X$6*$C3+$W$6*$D3+$V$6*$E3+$U$6*$F3+$T$6*$G3+$S$6*$H3)</f>
        <v>-2.9070698637667647E-5</v>
      </c>
      <c r="R3" s="1"/>
      <c r="S3" s="1">
        <f t="array" ref="S3:AA3">LINEST(J2:J12,A2:H12,TRUE,FALSE)</f>
        <v>-1.8313773747301029E-2</v>
      </c>
      <c r="T3" s="1">
        <v>5.6468650645714366E-2</v>
      </c>
      <c r="U3" s="1">
        <v>1.9434230408786985</v>
      </c>
      <c r="V3">
        <v>-6.8643852454425591</v>
      </c>
      <c r="W3">
        <v>-78.475634246944111</v>
      </c>
      <c r="X3">
        <v>159.25513032313265</v>
      </c>
      <c r="Y3">
        <v>1136.8807263742954</v>
      </c>
      <c r="Z3">
        <v>2652.8860293547627</v>
      </c>
      <c r="AA3">
        <v>6480.1217124632922</v>
      </c>
    </row>
    <row r="4" spans="1:27">
      <c r="A4">
        <v>0.5</v>
      </c>
      <c r="B4">
        <f t="shared" si="0"/>
        <v>0.25</v>
      </c>
      <c r="C4">
        <f t="shared" si="1"/>
        <v>0.125</v>
      </c>
      <c r="D4">
        <f t="shared" si="2"/>
        <v>6.25E-2</v>
      </c>
      <c r="E4">
        <f t="shared" si="3"/>
        <v>3.125E-2</v>
      </c>
      <c r="F4">
        <f t="shared" si="4"/>
        <v>1.5625E-2</v>
      </c>
      <c r="G4">
        <f t="shared" si="5"/>
        <v>7.8125E-3</v>
      </c>
      <c r="H4">
        <f t="shared" si="6"/>
        <v>3.90625E-3</v>
      </c>
      <c r="I4" t="str">
        <f>'SP3'!A75</f>
        <v>PG10</v>
      </c>
      <c r="J4">
        <f>'SP3'!B75</f>
        <v>8105.6032839999998</v>
      </c>
      <c r="K4">
        <f>'SP3'!C75</f>
        <v>-16210.250866</v>
      </c>
      <c r="L4">
        <f>'SP3'!D75</f>
        <v>19109.049927</v>
      </c>
      <c r="M4">
        <f>'SP3'!E75</f>
        <v>-43.001494000000001</v>
      </c>
      <c r="N4" s="1">
        <f t="shared" si="7"/>
        <v>-1.2453452654881403E-5</v>
      </c>
      <c r="O4" s="1">
        <f t="shared" si="8"/>
        <v>-1.3376073184190318E-5</v>
      </c>
      <c r="P4" s="1">
        <f t="shared" si="9"/>
        <v>2.7261703507974744E-6</v>
      </c>
      <c r="Q4" s="1">
        <f t="shared" si="10"/>
        <v>1.0882441706883128E-4</v>
      </c>
      <c r="R4" s="1"/>
      <c r="S4" s="1">
        <f t="array" ref="S4:AA4">LINEST(K2:K12,A2:H12,TRUE,FALSE)</f>
        <v>1.5107892387439608E-2</v>
      </c>
      <c r="T4" s="1">
        <v>-0.34084314274080713</v>
      </c>
      <c r="U4" s="1">
        <v>1.2608777375059692</v>
      </c>
      <c r="V4">
        <v>13.152572700545671</v>
      </c>
      <c r="W4">
        <v>-47.832299749352785</v>
      </c>
      <c r="X4">
        <v>-450.85452606565849</v>
      </c>
      <c r="Y4">
        <v>1448.2255706166084</v>
      </c>
      <c r="Z4">
        <v>6977.1613948638524</v>
      </c>
      <c r="AA4">
        <v>-20001.969723507158</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'SP3'!A107</f>
        <v>PG10</v>
      </c>
      <c r="J5">
        <f>'SP3'!B107</f>
        <v>9150.3598829999992</v>
      </c>
      <c r="K5">
        <f>'SP3'!C107</f>
        <v>-14156.50887</v>
      </c>
      <c r="L5">
        <f>'SP3'!D107</f>
        <v>20255.615163999999</v>
      </c>
      <c r="M5">
        <f>'SP3'!E107</f>
        <v>-43.002200999999999</v>
      </c>
      <c r="N5" s="1">
        <f t="shared" si="7"/>
        <v>2.201628012699075E-5</v>
      </c>
      <c r="O5" s="1">
        <f t="shared" si="8"/>
        <v>2.3933620468596928E-5</v>
      </c>
      <c r="P5" s="1">
        <f t="shared" si="9"/>
        <v>-4.8090660129673779E-6</v>
      </c>
      <c r="Q5" s="1">
        <f t="shared" si="10"/>
        <v>-2.3154850720175091E-4</v>
      </c>
      <c r="R5" s="1"/>
      <c r="S5" s="1">
        <f t="array" ref="S5:AA5">LINEST(L2:L12,A2:H12,TRUE,FALSE)</f>
        <v>5.4929857830890083E-3</v>
      </c>
      <c r="T5" s="1">
        <v>-3.8341440274687083E-2</v>
      </c>
      <c r="U5" s="1">
        <v>-0.66735108641968766</v>
      </c>
      <c r="V5">
        <v>5.535261346280679</v>
      </c>
      <c r="W5">
        <v>54.811026680052095</v>
      </c>
      <c r="X5">
        <v>-364.83336522225488</v>
      </c>
      <c r="Y5">
        <v>-2243.2010901019075</v>
      </c>
      <c r="Z5">
        <v>7763.7227938307178</v>
      </c>
      <c r="AA5">
        <v>15830.005009898408</v>
      </c>
    </row>
    <row r="6" spans="1:27">
      <c r="A6">
        <v>1</v>
      </c>
      <c r="B6">
        <f t="shared" si="0"/>
        <v>1</v>
      </c>
      <c r="C6">
        <f t="shared" si="1"/>
        <v>1</v>
      </c>
      <c r="D6">
        <f t="shared" si="2"/>
        <v>1</v>
      </c>
      <c r="E6">
        <f t="shared" si="3"/>
        <v>1</v>
      </c>
      <c r="F6">
        <f t="shared" si="4"/>
        <v>1</v>
      </c>
      <c r="G6">
        <f t="shared" si="5"/>
        <v>1</v>
      </c>
      <c r="H6">
        <f t="shared" si="6"/>
        <v>1</v>
      </c>
      <c r="I6" t="str">
        <f>'SP3'!A139</f>
        <v>PG10</v>
      </c>
      <c r="J6">
        <f>'SP3'!B139</f>
        <v>10345.785137999999</v>
      </c>
      <c r="K6">
        <f>'SP3'!C139</f>
        <v>-12061.18189</v>
      </c>
      <c r="L6">
        <f>'SP3'!D139</f>
        <v>21045.339441</v>
      </c>
      <c r="M6">
        <f>'SP3'!E139</f>
        <v>-43.001477999999999</v>
      </c>
      <c r="N6" s="1">
        <f t="shared" si="7"/>
        <v>-1.8940872905659489E-5</v>
      </c>
      <c r="O6" s="1">
        <f t="shared" si="8"/>
        <v>-2.1345989807741717E-5</v>
      </c>
      <c r="P6" s="1">
        <f t="shared" si="9"/>
        <v>4.1096172935795039E-6</v>
      </c>
      <c r="Q6" s="1">
        <f t="shared" si="10"/>
        <v>3.0257249563447886E-4</v>
      </c>
      <c r="R6" s="1"/>
      <c r="S6" s="1">
        <f t="array" ref="S6:AA6">LINEST(M2:M12,A2:H12,TRUE,FALSE)</f>
        <v>1.465680200477049E-3</v>
      </c>
      <c r="T6" s="1">
        <v>-1.1856434497770288E-2</v>
      </c>
      <c r="U6" s="1">
        <v>3.4468436187547184E-2</v>
      </c>
      <c r="V6">
        <v>-3.6279037356078521E-2</v>
      </c>
      <c r="W6">
        <v>-1.5449487859258986E-2</v>
      </c>
      <c r="X6">
        <v>6.2961616005318882E-2</v>
      </c>
      <c r="Y6">
        <v>-4.3611963016998427E-2</v>
      </c>
      <c r="Z6">
        <v>6.8860136605029404E-3</v>
      </c>
      <c r="AA6">
        <v>-43.000365395819365</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'SP3'!B173</f>
        <v>11678.68489</v>
      </c>
      <c r="K7">
        <f>'SP3'!C173</f>
        <v>-9971.6057299999993</v>
      </c>
      <c r="L7">
        <f>'SP3'!D173</f>
        <v>21465.104065</v>
      </c>
      <c r="M7">
        <f>'SP3'!E173</f>
        <v>-43.001916000000001</v>
      </c>
      <c r="N7" s="1">
        <f t="shared" si="7"/>
        <v>-7.7609729487448931E-7</v>
      </c>
      <c r="O7" s="1">
        <f t="shared" si="8"/>
        <v>9.6977964858524501E-7</v>
      </c>
      <c r="P7" s="1">
        <f t="shared" si="9"/>
        <v>2.3596658138558269E-7</v>
      </c>
      <c r="Q7" s="1">
        <f t="shared" si="10"/>
        <v>-2.3992212430812287E-4</v>
      </c>
    </row>
    <row r="8" spans="1:27">
      <c r="A8">
        <v>1.5</v>
      </c>
      <c r="B8">
        <f t="shared" si="0"/>
        <v>2.25</v>
      </c>
      <c r="C8">
        <f t="shared" si="1"/>
        <v>3.375</v>
      </c>
      <c r="D8">
        <f t="shared" si="2"/>
        <v>5.0625</v>
      </c>
      <c r="E8">
        <f t="shared" si="3"/>
        <v>7.59375</v>
      </c>
      <c r="F8">
        <f t="shared" si="4"/>
        <v>11.390625</v>
      </c>
      <c r="G8">
        <f t="shared" si="5"/>
        <v>17.0859375</v>
      </c>
      <c r="H8">
        <f t="shared" si="6"/>
        <v>25.62890625</v>
      </c>
      <c r="J8">
        <f>'SP3'!B205</f>
        <v>13128.141412999999</v>
      </c>
      <c r="K8">
        <f>'SP3'!C205</f>
        <v>-7932.7020119999997</v>
      </c>
      <c r="L8">
        <f>'SP3'!D205</f>
        <v>21508.472483000001</v>
      </c>
      <c r="M8">
        <f>'SP3'!E205</f>
        <v>-43.001674999999999</v>
      </c>
      <c r="N8" s="1">
        <f t="shared" si="7"/>
        <v>2.0234363546478562E-5</v>
      </c>
      <c r="O8" s="1">
        <f t="shared" si="8"/>
        <v>1.9729699488379993E-5</v>
      </c>
      <c r="P8" s="1">
        <f t="shared" si="9"/>
        <v>-4.5028900785837322E-6</v>
      </c>
      <c r="Q8" s="1">
        <f t="shared" si="10"/>
        <v>9.7297711590726976E-5</v>
      </c>
      <c r="W8">
        <f t="array" ref="W8:AA8">LINEST(J2:J6,A2:D6,TRUE,FALSE)</f>
        <v>-87.556416000003637</v>
      </c>
      <c r="X8">
        <v>164.93351466668111</v>
      </c>
      <c r="Y8">
        <v>1135.2240199999858</v>
      </c>
      <c r="Z8">
        <v>2653.0623073333363</v>
      </c>
      <c r="AA8">
        <v>6480.1217120000001</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'SP3'!B237</f>
        <v>14666.244264999999</v>
      </c>
      <c r="K9">
        <f>'SP3'!C237</f>
        <v>-5985.3728119999996</v>
      </c>
      <c r="L9">
        <f>'SP3'!D237</f>
        <v>21175.743640000001</v>
      </c>
      <c r="M9">
        <f>'SP3'!E237</f>
        <v>-43.001792999999999</v>
      </c>
      <c r="N9" s="1">
        <f t="shared" si="7"/>
        <v>-2.2755417376174591E-5</v>
      </c>
      <c r="O9" s="1">
        <f t="shared" si="8"/>
        <v>-2.3010022232483607E-5</v>
      </c>
      <c r="P9" s="1">
        <f t="shared" si="9"/>
        <v>5.0337912398390472E-6</v>
      </c>
      <c r="Q9" s="1">
        <f t="shared" si="10"/>
        <v>3.0512459758824662E-6</v>
      </c>
      <c r="W9">
        <f t="array" ref="W9:AA9">LINEST(K2:K6,A2:D6,TRUE,FALSE)</f>
        <v>-11.594432000027171</v>
      </c>
      <c r="X9">
        <v>-483.27301333328069</v>
      </c>
      <c r="Y9">
        <v>1459.9000119999755</v>
      </c>
      <c r="Z9">
        <v>6975.7552673333321</v>
      </c>
      <c r="AA9">
        <v>-20001.969724000002</v>
      </c>
    </row>
    <row r="10" spans="1:27">
      <c r="A10">
        <v>2</v>
      </c>
      <c r="B10">
        <f t="shared" si="0"/>
        <v>4</v>
      </c>
      <c r="C10">
        <f t="shared" si="1"/>
        <v>8</v>
      </c>
      <c r="D10">
        <f t="shared" si="2"/>
        <v>16</v>
      </c>
      <c r="E10">
        <f t="shared" si="3"/>
        <v>32</v>
      </c>
      <c r="F10">
        <f t="shared" si="4"/>
        <v>64</v>
      </c>
      <c r="G10">
        <f t="shared" si="5"/>
        <v>128</v>
      </c>
      <c r="H10">
        <f t="shared" si="6"/>
        <v>256</v>
      </c>
      <c r="J10">
        <f>'SP3'!B269</f>
        <v>16259.105992000001</v>
      </c>
      <c r="K10">
        <f>'SP3'!C269</f>
        <v>-4165.0794429999996</v>
      </c>
      <c r="L10">
        <f>'SP3'!D269</f>
        <v>20473.872133000001</v>
      </c>
      <c r="M10">
        <f>'SP3'!E269</f>
        <v>-43.001922</v>
      </c>
      <c r="N10" s="1">
        <f t="shared" si="7"/>
        <v>1.273063026019372E-5</v>
      </c>
      <c r="O10" s="1">
        <f t="shared" si="8"/>
        <v>1.3029727597313467E-5</v>
      </c>
      <c r="P10" s="1">
        <f t="shared" si="9"/>
        <v>-2.8104404918849468E-6</v>
      </c>
      <c r="Q10" s="1">
        <f t="shared" si="10"/>
        <v>-2.3137944083373441E-5</v>
      </c>
      <c r="W10">
        <f t="array" ref="W10:AA10">LINEST(L2:L6,A2:D6,TRUE,FALSE)</f>
        <v>65.765344000003694</v>
      </c>
      <c r="X10">
        <v>-373.5945226666509</v>
      </c>
      <c r="Y10">
        <v>-2240.2083740000289</v>
      </c>
      <c r="Z10">
        <v>7763.3719836666751</v>
      </c>
      <c r="AA10">
        <v>15830.005010000004</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'SP3'!B301</f>
        <v>17868.117343999998</v>
      </c>
      <c r="K11">
        <f>'SP3'!C301</f>
        <v>-2500.6597179999999</v>
      </c>
      <c r="L11">
        <f>'SP3'!D301</f>
        <v>19416.262123</v>
      </c>
      <c r="M11">
        <f>'SP3'!E301</f>
        <v>-43.002828999999998</v>
      </c>
      <c r="N11" s="1">
        <f t="shared" si="7"/>
        <v>-3.7617719499394298E-6</v>
      </c>
      <c r="O11" s="1">
        <f t="shared" si="8"/>
        <v>-3.8734883673896547E-6</v>
      </c>
      <c r="P11" s="1">
        <f t="shared" si="9"/>
        <v>8.2960468716919422E-7</v>
      </c>
      <c r="Q11" s="1">
        <f t="shared" si="10"/>
        <v>1.0029260224087011E-5</v>
      </c>
      <c r="W11">
        <f t="array" ref="W11:AA11">LINEST(M2:M6,A2:D6,TRUE,FALSE)</f>
        <v>1.2799999998005127E-4</v>
      </c>
      <c r="X11">
        <v>1.1904000000034297E-2</v>
      </c>
      <c r="Y11">
        <v>-1.5784000000015341E-2</v>
      </c>
      <c r="Z11">
        <v>2.6360000000048762E-3</v>
      </c>
      <c r="AA11">
        <v>-43.000362000000003</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'SP3'!B333</f>
        <v>19451.387796999999</v>
      </c>
      <c r="K12">
        <f>'SP3'!C333</f>
        <v>-1013.426522</v>
      </c>
      <c r="L12">
        <f>'SP3'!D333</f>
        <v>18022.444807</v>
      </c>
      <c r="M12">
        <f>'SP3'!E333</f>
        <v>-43.003318999999998</v>
      </c>
      <c r="N12" s="1">
        <f t="shared" si="7"/>
        <v>4.6944842324592173E-7</v>
      </c>
      <c r="O12" s="1">
        <f t="shared" si="8"/>
        <v>4.8514925765630323E-7</v>
      </c>
      <c r="P12" s="1">
        <f t="shared" si="9"/>
        <v>-1.0346411727368832E-7</v>
      </c>
      <c r="Q12" s="1">
        <f t="shared" si="10"/>
        <v>-1.4916754977889468E-6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Foglio7"/>
  <dimension ref="A1:AA12"/>
  <sheetViews>
    <sheetView workbookViewId="0">
      <selection activeCell="N1" sqref="N1:AB12"/>
    </sheetView>
  </sheetViews>
  <sheetFormatPr defaultRowHeight="15"/>
  <cols>
    <col min="12" max="13" width="12.7109375" bestFit="1" customWidth="1"/>
    <col min="14" max="14" width="9.5703125" bestFit="1" customWidth="1"/>
    <col min="15" max="15" width="9.42578125" bestFit="1" customWidth="1"/>
    <col min="16" max="16"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'SP3'!A14</f>
        <v>PG13</v>
      </c>
      <c r="J2">
        <f>'SP3'!B14</f>
        <v>17368.707301999999</v>
      </c>
      <c r="K2">
        <f>'SP3'!C14</f>
        <v>1899.4367480000001</v>
      </c>
      <c r="L2">
        <f>'SP3'!D14</f>
        <v>19874.278448000001</v>
      </c>
      <c r="M2">
        <f>'SP3'!E14</f>
        <v>304.22002199999997</v>
      </c>
      <c r="N2" s="1">
        <f>J2-($AA$3+$Z$3*$A2+$Y$3*$B2+$X$3*$C2+$W$3*$D2+$V$3*$E2+$U$3*$F2+$T$3*$G2+$S$3*$H2)</f>
        <v>2.0684092305600643E-7</v>
      </c>
      <c r="O2" s="1">
        <f>K2-($AA$4+$Z$4*$A2+$Y$4*$B2+$X$4*$C2+$W$4*$D2+$V$4*$E2+$U$4*$F2+$T$4*$G2+$S$4*$H2)</f>
        <v>-6.2982667259348091E-7</v>
      </c>
      <c r="P2" s="1">
        <f>L2-($AA$5+$Z$5*$A2+$Y$5*$B2+$X$5*$C2+$W$5*$D2+$V$5*$E2+$U$5*$F2+$T$5*$G2+$S$5*$H2)</f>
        <v>1.7611455405130982E-8</v>
      </c>
      <c r="Q2" s="1">
        <f>M2-($AA$6+$Z$6*$A2+$Y$6*$B2+$X$6*$C2+$W$6*$D2+$V$6*$E2+$U$6*$F2+$T$6*$G2+$S$6*$H2)</f>
        <v>-1.5221048670355231E-6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'SP3'!A46</f>
        <v>PG13</v>
      </c>
      <c r="J3">
        <f>'SP3'!B46</f>
        <v>15703.488674</v>
      </c>
      <c r="K3">
        <f>'SP3'!C46</f>
        <v>3570.6169199999999</v>
      </c>
      <c r="L3">
        <f>'SP3'!D46</f>
        <v>20987.928019999999</v>
      </c>
      <c r="M3">
        <f>'SP3'!E46</f>
        <v>304.219627</v>
      </c>
      <c r="N3" s="1">
        <f t="shared" ref="N3:N12" si="7">J3-($AA$3+$Z$3*$A3+$Y$3*$B3+$X$3*$C3+$W$3*$D3+$V$3*$E3+$U$3*$F3+$T$3*$G3+$S$3*H3)</f>
        <v>-1.6627491277176887E-6</v>
      </c>
      <c r="O3" s="1">
        <f t="shared" ref="O3:O12" si="8">K3-($AA$4+$Z$4*$A3+$Y$4*$B3+$X$4*$C3+$W$4*$D3+$V$4*$E3+$U$4*$F3+$T$4*$G3+$S$4*$H3)</f>
        <v>5.0341627684247214E-6</v>
      </c>
      <c r="P3" s="1">
        <f t="shared" ref="P3:P12" si="9">L3-($AA$5+$Z$5*$A3+$Y$5*$B3+$X$5*$C3+$W$5*$D3+$V$5*$E3+$U$5*$F3+$T$5*$G3+$S$5*$H3)</f>
        <v>-1.3746466720476747E-7</v>
      </c>
      <c r="Q3" s="1">
        <f t="shared" ref="Q3:Q12" si="10">M3-($AA$6+$Z$6*$A3+$Y$6*$B3+$X$6*$C3+$W$6*$D3+$V$6*$E3+$U$6*$F3+$T$6*$G3+$S$6*$H3)</f>
        <v>1.1807638088612293E-5</v>
      </c>
      <c r="R3" s="1"/>
      <c r="S3" s="1">
        <f t="array" ref="S3:AA3">LINEST(J2:J12,A2:H12,TRUE,FALSE)</f>
        <v>-2.3099626402027954E-2</v>
      </c>
      <c r="T3" s="1">
        <v>0.30383029576980347</v>
      </c>
      <c r="U3" s="1">
        <v>0.32633117839303233</v>
      </c>
      <c r="V3">
        <v>-14.896190757956239</v>
      </c>
      <c r="W3">
        <v>-21.316732370369426</v>
      </c>
      <c r="X3">
        <v>500.16454145885979</v>
      </c>
      <c r="Y3">
        <v>-165.18470361636867</v>
      </c>
      <c r="Z3">
        <v>-6650.4477417205007</v>
      </c>
      <c r="AA3">
        <v>17368.707301793158</v>
      </c>
    </row>
    <row r="4" spans="1:27">
      <c r="A4">
        <v>0.5</v>
      </c>
      <c r="B4">
        <f t="shared" si="0"/>
        <v>0.25</v>
      </c>
      <c r="C4">
        <f t="shared" si="1"/>
        <v>0.125</v>
      </c>
      <c r="D4">
        <f t="shared" si="2"/>
        <v>6.25E-2</v>
      </c>
      <c r="E4">
        <f t="shared" si="3"/>
        <v>3.125E-2</v>
      </c>
      <c r="F4">
        <f t="shared" si="4"/>
        <v>1.5625E-2</v>
      </c>
      <c r="G4">
        <f t="shared" si="5"/>
        <v>7.8125E-3</v>
      </c>
      <c r="H4">
        <f t="shared" si="6"/>
        <v>3.90625E-3</v>
      </c>
      <c r="I4" t="str">
        <f>'SP3'!A78</f>
        <v>PG13</v>
      </c>
      <c r="J4">
        <f>'SP3'!B78</f>
        <v>14062.917409</v>
      </c>
      <c r="K4">
        <f>'SP3'!C78</f>
        <v>5412.166827</v>
      </c>
      <c r="L4">
        <f>'SP3'!D78</f>
        <v>21736.107284000002</v>
      </c>
      <c r="M4">
        <f>'SP3'!E78</f>
        <v>304.21936799999997</v>
      </c>
      <c r="N4" s="1">
        <f t="shared" si="7"/>
        <v>5.6572298490209505E-6</v>
      </c>
      <c r="O4" s="1">
        <f t="shared" si="8"/>
        <v>-1.6965339455055073E-5</v>
      </c>
      <c r="P4" s="1">
        <f t="shared" si="9"/>
        <v>4.4454645831137896E-7</v>
      </c>
      <c r="Q4" s="1">
        <f t="shared" si="10"/>
        <v>-3.777402639570937E-5</v>
      </c>
      <c r="R4" s="1"/>
      <c r="S4" s="1">
        <f t="array" ref="S4:AA4">LINEST(K2:K12,A2:H12,TRUE,FALSE)</f>
        <v>-7.2673202973891071E-3</v>
      </c>
      <c r="T4" s="1">
        <v>-0.15285280562041201</v>
      </c>
      <c r="U4" s="1">
        <v>2.2771756517730544</v>
      </c>
      <c r="V4">
        <v>3.8706181896085776</v>
      </c>
      <c r="W4">
        <v>-92.800853300994547</v>
      </c>
      <c r="X4">
        <v>-192.34313354095082</v>
      </c>
      <c r="Y4">
        <v>1546.642526265111</v>
      </c>
      <c r="Z4">
        <v>6311.5141873113917</v>
      </c>
      <c r="AA4">
        <v>1899.4367486298268</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'SP3'!A110</f>
        <v>PG13</v>
      </c>
      <c r="J5">
        <f>'SP3'!B110</f>
        <v>12488.778646000001</v>
      </c>
      <c r="K5">
        <f>'SP3'!C110</f>
        <v>7393.8539840000003</v>
      </c>
      <c r="L5">
        <f>'SP3'!D110</f>
        <v>22105.533271</v>
      </c>
      <c r="M5">
        <f>'SP3'!E110</f>
        <v>304.21900399999998</v>
      </c>
      <c r="N5" s="1">
        <f t="shared" si="7"/>
        <v>-1.0218789611826651E-5</v>
      </c>
      <c r="O5" s="1">
        <f t="shared" si="8"/>
        <v>3.0071833862166386E-5</v>
      </c>
      <c r="P5" s="1">
        <f t="shared" si="9"/>
        <v>-7.2146940510720015E-7</v>
      </c>
      <c r="Q5" s="1">
        <f t="shared" si="10"/>
        <v>5.9769815209165245E-5</v>
      </c>
      <c r="R5" s="1"/>
      <c r="S5" s="1">
        <f t="array" ref="S5:AA5">LINEST(L2:L12,A2:H12,TRUE,FALSE)</f>
        <v>4.7775545763227515E-3</v>
      </c>
      <c r="T5" s="1">
        <v>-3.4932138111610077E-2</v>
      </c>
      <c r="U5" s="1">
        <v>-0.62704921262824509</v>
      </c>
      <c r="V5">
        <v>3.7026529728336826</v>
      </c>
      <c r="W5">
        <v>64.571692754421022</v>
      </c>
      <c r="X5">
        <v>-243.40955700314919</v>
      </c>
      <c r="Y5">
        <v>-2770.2452942612053</v>
      </c>
      <c r="Z5">
        <v>5161.3499339003138</v>
      </c>
      <c r="AA5">
        <v>19874.278447982389</v>
      </c>
    </row>
    <row r="6" spans="1:27">
      <c r="A6">
        <v>1</v>
      </c>
      <c r="B6">
        <f t="shared" si="0"/>
        <v>1</v>
      </c>
      <c r="C6">
        <f t="shared" si="1"/>
        <v>1</v>
      </c>
      <c r="D6">
        <f t="shared" si="2"/>
        <v>1</v>
      </c>
      <c r="E6">
        <f t="shared" si="3"/>
        <v>1</v>
      </c>
      <c r="F6">
        <f t="shared" si="4"/>
        <v>1</v>
      </c>
      <c r="G6">
        <f t="shared" si="5"/>
        <v>1</v>
      </c>
      <c r="H6">
        <f t="shared" si="6"/>
        <v>1</v>
      </c>
      <c r="I6" t="str">
        <f>'SP3'!A142</f>
        <v>PG13</v>
      </c>
      <c r="J6">
        <f>'SP3'!B142</f>
        <v>11017.633545999999</v>
      </c>
      <c r="K6">
        <f>'SP3'!C142</f>
        <v>9478.4371229999997</v>
      </c>
      <c r="L6">
        <f>'SP3'!D142</f>
        <v>22089.590672999999</v>
      </c>
      <c r="M6">
        <f>'SP3'!E142</f>
        <v>304.21855199999999</v>
      </c>
      <c r="N6" s="1">
        <f t="shared" si="7"/>
        <v>9.3654161901213229E-6</v>
      </c>
      <c r="O6" s="1">
        <f t="shared" si="8"/>
        <v>-2.6079846065840684E-5</v>
      </c>
      <c r="P6" s="1">
        <f t="shared" si="9"/>
        <v>4.5055639930069447E-7</v>
      </c>
      <c r="Q6" s="1">
        <f t="shared" si="10"/>
        <v>-3.2915564418090071E-5</v>
      </c>
      <c r="R6" s="1"/>
      <c r="S6" s="1">
        <f t="array" ref="S6:AA6">LINEST(M2:M12,A2:H12,TRUE,FALSE)</f>
        <v>8.6513884701899801E-4</v>
      </c>
      <c r="T6" s="1">
        <v>-9.7206127465075554E-3</v>
      </c>
      <c r="U6" s="1">
        <v>4.4344761192485461E-2</v>
      </c>
      <c r="V6">
        <v>-0.10544979923220513</v>
      </c>
      <c r="W6">
        <v>0.13947590875676902</v>
      </c>
      <c r="X6">
        <v>-0.10100625530806896</v>
      </c>
      <c r="Y6">
        <v>3.6241417066027994E-2</v>
      </c>
      <c r="Z6">
        <v>-6.1891651160102448E-3</v>
      </c>
      <c r="AA6">
        <v>304.22002352210484</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'SP3'!B176</f>
        <v>9679.4839699999993</v>
      </c>
      <c r="K7">
        <f>'SP3'!C176</f>
        <v>11622.950413</v>
      </c>
      <c r="L7">
        <f>'SP3'!D176</f>
        <v>21688.463541000001</v>
      </c>
      <c r="M7">
        <f>'SP3'!E176</f>
        <v>304.21826700000003</v>
      </c>
      <c r="N7" s="1">
        <f t="shared" si="7"/>
        <v>-1.0175117495236918E-6</v>
      </c>
      <c r="O7" s="1">
        <f t="shared" si="8"/>
        <v>-5.5922464525792748E-7</v>
      </c>
      <c r="P7" s="1">
        <f t="shared" si="9"/>
        <v>4.3373802327550948E-7</v>
      </c>
      <c r="Q7" s="1">
        <f t="shared" si="10"/>
        <v>-4.6519257750787801E-5</v>
      </c>
    </row>
    <row r="8" spans="1:27">
      <c r="A8">
        <v>1.5</v>
      </c>
      <c r="B8">
        <f t="shared" si="0"/>
        <v>2.25</v>
      </c>
      <c r="C8">
        <f t="shared" si="1"/>
        <v>3.375</v>
      </c>
      <c r="D8">
        <f t="shared" si="2"/>
        <v>5.0625</v>
      </c>
      <c r="E8">
        <f t="shared" si="3"/>
        <v>7.59375</v>
      </c>
      <c r="F8">
        <f t="shared" si="4"/>
        <v>11.390625</v>
      </c>
      <c r="G8">
        <f t="shared" si="5"/>
        <v>17.0859375</v>
      </c>
      <c r="H8">
        <f t="shared" si="6"/>
        <v>25.62890625</v>
      </c>
      <c r="J8">
        <f>'SP3'!B208</f>
        <v>8496.7078430000001</v>
      </c>
      <c r="K8">
        <f>'SP3'!C208</f>
        <v>13780.224419</v>
      </c>
      <c r="L8">
        <f>'SP3'!D208</f>
        <v>20909.138509</v>
      </c>
      <c r="M8">
        <f>'SP3'!E208</f>
        <v>304.21803599999998</v>
      </c>
      <c r="N8" s="1">
        <f t="shared" si="7"/>
        <v>-7.6695487223332748E-6</v>
      </c>
      <c r="O8" s="1">
        <f t="shared" si="8"/>
        <v>2.7011881684302352E-5</v>
      </c>
      <c r="P8" s="1">
        <f t="shared" si="9"/>
        <v>-1.1734555300790817E-6</v>
      </c>
      <c r="Q8" s="1">
        <f t="shared" si="10"/>
        <v>1.104476607451943E-4</v>
      </c>
      <c r="W8">
        <f t="array" ref="W8:AA8">LINEST(J2:J6,A2:D6,TRUE,FALSE)</f>
        <v>-55.722432000062994</v>
      </c>
      <c r="X8">
        <v>529.29179733345313</v>
      </c>
      <c r="Y8">
        <v>-175.41138000007652</v>
      </c>
      <c r="Z8">
        <v>-6649.231741333313</v>
      </c>
      <c r="AA8">
        <v>17368.707301999999</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'SP3'!B240</f>
        <v>7483.3081519999996</v>
      </c>
      <c r="K9">
        <f>'SP3'!C240</f>
        <v>15900.583257</v>
      </c>
      <c r="L9">
        <f>'SP3'!D240</f>
        <v>19765.279052999998</v>
      </c>
      <c r="M9">
        <f>'SP3'!E240</f>
        <v>304.21732600000001</v>
      </c>
      <c r="N9" s="1">
        <f t="shared" si="7"/>
        <v>9.2497393779922277E-6</v>
      </c>
      <c r="O9" s="1">
        <f t="shared" si="8"/>
        <v>-3.0604433050029911E-5</v>
      </c>
      <c r="P9" s="1">
        <f t="shared" si="9"/>
        <v>1.1345582606736571E-6</v>
      </c>
      <c r="Q9" s="1">
        <f t="shared" si="10"/>
        <v>-1.0407387043187555E-4</v>
      </c>
      <c r="W9">
        <f t="array" ref="W9:AA9">LINEST(K2:K6,A2:D6,TRUE,FALSE)</f>
        <v>-74.760352000041408</v>
      </c>
      <c r="X9">
        <v>-210.33931199992219</v>
      </c>
      <c r="Y9">
        <v>1553.4200179999557</v>
      </c>
      <c r="Z9">
        <v>6310.6800210000074</v>
      </c>
      <c r="AA9">
        <v>1899.4367480000005</v>
      </c>
    </row>
    <row r="10" spans="1:27">
      <c r="A10">
        <v>2</v>
      </c>
      <c r="B10">
        <f t="shared" si="0"/>
        <v>4</v>
      </c>
      <c r="C10">
        <f t="shared" si="1"/>
        <v>8</v>
      </c>
      <c r="D10">
        <f t="shared" si="2"/>
        <v>16</v>
      </c>
      <c r="E10">
        <f t="shared" si="3"/>
        <v>32</v>
      </c>
      <c r="F10">
        <f t="shared" si="4"/>
        <v>64</v>
      </c>
      <c r="G10">
        <f t="shared" si="5"/>
        <v>128</v>
      </c>
      <c r="H10">
        <f t="shared" si="6"/>
        <v>256</v>
      </c>
      <c r="J10">
        <f>'SP3'!B272</f>
        <v>6644.5054769999997</v>
      </c>
      <c r="K10">
        <f>'SP3'!C272</f>
        <v>17933.649955000001</v>
      </c>
      <c r="L10">
        <f>'SP3'!D272</f>
        <v>18276.973252</v>
      </c>
      <c r="M10">
        <f>'SP3'!E272</f>
        <v>304.21713799999998</v>
      </c>
      <c r="N10" s="1">
        <f t="shared" si="7"/>
        <v>-5.2938194130547345E-6</v>
      </c>
      <c r="O10" s="1">
        <f t="shared" si="8"/>
        <v>1.7165057215606794E-5</v>
      </c>
      <c r="P10" s="1">
        <f t="shared" si="9"/>
        <v>-5.9946250985376537E-7</v>
      </c>
      <c r="Q10" s="1">
        <f t="shared" si="10"/>
        <v>5.4388046919484623E-5</v>
      </c>
      <c r="W10">
        <f t="array" ref="W10:AA10">LINEST(L2:L6,A2:D6,TRUE,FALSE)</f>
        <v>71.121717333433537</v>
      </c>
      <c r="X10">
        <v>-248.36757866688438</v>
      </c>
      <c r="Y10">
        <v>-2768.6025313331884</v>
      </c>
      <c r="Z10">
        <v>5161.1606176666364</v>
      </c>
      <c r="AA10">
        <v>19874.278448000005</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'SP3'!B304</f>
        <v>5976.6895459999996</v>
      </c>
      <c r="K11">
        <f>'SP3'!C304</f>
        <v>19830.187451000002</v>
      </c>
      <c r="L11">
        <f>'SP3'!D304</f>
        <v>16470.360540999998</v>
      </c>
      <c r="M11">
        <f>'SP3'!E304</f>
        <v>304.21697599999999</v>
      </c>
      <c r="N11" s="1">
        <f t="shared" si="7"/>
        <v>1.5820069165783934E-6</v>
      </c>
      <c r="O11" s="1">
        <f t="shared" si="8"/>
        <v>-5.0785492931026965E-6</v>
      </c>
      <c r="P11" s="1">
        <f t="shared" si="9"/>
        <v>1.7187630874104798E-7</v>
      </c>
      <c r="Q11" s="1">
        <f t="shared" si="10"/>
        <v>-1.549964281366556E-5</v>
      </c>
      <c r="W11">
        <f t="array" ref="W11:AA11">LINEST(M2:M6,A2:D6,TRUE,FALSE)</f>
        <v>2.7519999985087958E-3</v>
      </c>
      <c r="X11">
        <v>-6.6986666633964912E-3</v>
      </c>
      <c r="Y11">
        <v>4.907999997726553E-3</v>
      </c>
      <c r="Z11">
        <v>-2.4313333328222879E-3</v>
      </c>
      <c r="AA11">
        <v>304.22002199999997</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'SP3'!B336</f>
        <v>5467.7302840000002</v>
      </c>
      <c r="K12">
        <f>'SP3'!C336</f>
        <v>21543.901357999999</v>
      </c>
      <c r="L12">
        <f>'SP3'!D336</f>
        <v>14377.145716000001</v>
      </c>
      <c r="M12">
        <f>'SP3'!E336</f>
        <v>304.216748</v>
      </c>
      <c r="N12" s="1">
        <f t="shared" si="7"/>
        <v>-1.9875369616784155E-7</v>
      </c>
      <c r="O12" s="1">
        <f t="shared" si="8"/>
        <v>6.3426705310121179E-7</v>
      </c>
      <c r="P12" s="1">
        <f t="shared" si="9"/>
        <v>-2.1062078303657472E-8</v>
      </c>
      <c r="Q12" s="1">
        <f t="shared" si="10"/>
        <v>1.8913052599600633E-6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sheetPr codeName="Foglio8"/>
  <dimension ref="A1:AA12"/>
  <sheetViews>
    <sheetView workbookViewId="0">
      <selection activeCell="N1" sqref="N1:AB12"/>
    </sheetView>
  </sheetViews>
  <sheetFormatPr defaultRowHeight="15"/>
  <cols>
    <col min="13" max="14" width="12.7109375" bestFit="1" customWidth="1"/>
    <col min="15" max="15" width="9.5703125" bestFit="1" customWidth="1"/>
    <col min="16" max="16" width="9.42578125" bestFit="1" customWidth="1"/>
    <col min="17" max="17"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'SP3'!A21</f>
        <v>PG20</v>
      </c>
      <c r="J2">
        <f>'SP3'!B21</f>
        <v>14103.754392999999</v>
      </c>
      <c r="K2">
        <f>'SP3'!C21</f>
        <v>20049.164488999999</v>
      </c>
      <c r="L2">
        <f>'SP3'!D21</f>
        <v>10151.272761</v>
      </c>
      <c r="M2">
        <f>'SP3'!E21</f>
        <v>55.819052999999997</v>
      </c>
      <c r="N2" s="1">
        <f>J2-($AA$3+$Z$3*$A2+$Y$3*$B2+$X$3*$C2+$W$3*$D2+$V$3*$E2+$U$3*$F2+$T$3*$G2+$S$3*$H2)</f>
        <v>-2.5033295969478786E-7</v>
      </c>
      <c r="O2" s="1">
        <f>K2-($AA$4+$Z$4*$A2+$Y$4*$B2+$X$4*$C2+$W$4*$D2+$V$4*$E2+$U$4*$F2+$T$4*$G2+$S$4*$H2)</f>
        <v>3.8081270758993924E-7</v>
      </c>
      <c r="P2" s="1">
        <f>L2-($AA$5+$Z$5*$A2+$Y$5*$B2+$X$5*$C2+$W$5*$D2+$V$5*$E2+$U$5*$F2+$T$5*$G2+$S$5*$H2)</f>
        <v>2.5180270313285291E-8</v>
      </c>
      <c r="Q2" s="1">
        <f>M2-($AA$6+$Z$6*$A2+$Y$6*$B2+$X$6*$C2+$W$6*$D2+$V$6*$E2+$U$6*$F2+$T$6*$G2+$S$6*$H2)</f>
        <v>-3.6597783150682517E-6</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'SP3'!A53</f>
        <v>PG20</v>
      </c>
      <c r="J3">
        <f>'SP3'!B53</f>
        <v>14170.825991</v>
      </c>
      <c r="K3">
        <f>'SP3'!C53</f>
        <v>21122.07546</v>
      </c>
      <c r="L3">
        <f>'SP3'!D53</f>
        <v>7599.7497880000001</v>
      </c>
      <c r="M3">
        <f>'SP3'!E53</f>
        <v>55.818356999999999</v>
      </c>
      <c r="N3" s="1">
        <f t="shared" ref="N3:N12" si="7">J3-($AA$3+$Z$3*$A3+$Y$3*$B3+$X$3*$C3+$W$3*$D3+$V$3*$E3+$U$3*$F3+$T$3*$G3+$S$3*H3)</f>
        <v>2.0074130588909611E-6</v>
      </c>
      <c r="O3" s="1">
        <f t="shared" ref="O3:O12" si="8">K3-($AA$4+$Z$4*$A3+$Y$4*$B3+$X$4*$C3+$W$4*$D3+$V$4*$E3+$U$4*$F3+$T$4*$G3+$S$4*$H3)</f>
        <v>-3.0450974008999765E-6</v>
      </c>
      <c r="P3" s="1">
        <f t="shared" ref="P3:P12" si="9">L3-($AA$5+$Z$5*$A3+$Y$5*$B3+$X$5*$C3+$W$5*$D3+$V$5*$E3+$U$5*$F3+$T$5*$G3+$S$5*$H3)</f>
        <v>-2.0119296095799655E-7</v>
      </c>
      <c r="Q3" s="1">
        <f t="shared" ref="Q3:Q12" si="10">M3-($AA$6+$Z$6*$A3+$Y$6*$B3+$X$6*$C3+$W$6*$D3+$V$6*$E3+$U$6*$F3+$T$6*$G3+$S$6*$H3)</f>
        <v>2.9511810161864105E-5</v>
      </c>
      <c r="R3" s="1"/>
      <c r="S3" s="1">
        <f t="array" ref="S3:AA3">LINEST(J2:J12,A2:H12,TRUE,FALSE)</f>
        <v>1.4517958894384493E-2</v>
      </c>
      <c r="T3" s="1">
        <v>-0.27080469295969095</v>
      </c>
      <c r="U3" s="1">
        <v>0.44196568712978807</v>
      </c>
      <c r="V3">
        <v>13.111976075618429</v>
      </c>
      <c r="W3">
        <v>-13.021095585636719</v>
      </c>
      <c r="X3">
        <v>-387.79008196262708</v>
      </c>
      <c r="Y3">
        <v>-193.69746465432272</v>
      </c>
      <c r="Z3">
        <v>341.09949883844581</v>
      </c>
      <c r="AA3">
        <v>14103.754393250332</v>
      </c>
    </row>
    <row r="4" spans="1:27">
      <c r="A4">
        <v>0.5</v>
      </c>
      <c r="B4">
        <f t="shared" si="0"/>
        <v>0.25</v>
      </c>
      <c r="C4">
        <f t="shared" si="1"/>
        <v>0.125</v>
      </c>
      <c r="D4">
        <f t="shared" si="2"/>
        <v>6.25E-2</v>
      </c>
      <c r="E4">
        <f t="shared" si="3"/>
        <v>3.125E-2</v>
      </c>
      <c r="F4">
        <f t="shared" si="4"/>
        <v>1.5625E-2</v>
      </c>
      <c r="G4">
        <f t="shared" si="5"/>
        <v>7.8125E-3</v>
      </c>
      <c r="H4">
        <f t="shared" si="6"/>
        <v>3.90625E-3</v>
      </c>
      <c r="I4" t="str">
        <f>'SP3'!A85</f>
        <v>PG20</v>
      </c>
      <c r="J4">
        <f>'SP3'!B85</f>
        <v>14177.006787</v>
      </c>
      <c r="K4">
        <f>'SP3'!C85</f>
        <v>21916.501560000001</v>
      </c>
      <c r="L4">
        <f>'SP3'!D85</f>
        <v>4917.2105499999998</v>
      </c>
      <c r="M4">
        <f>'SP3'!E85</f>
        <v>55.817627000000002</v>
      </c>
      <c r="N4" s="1">
        <f t="shared" si="7"/>
        <v>-6.80187986290548E-6</v>
      </c>
      <c r="O4" s="1">
        <f t="shared" si="8"/>
        <v>1.0269162885379046E-5</v>
      </c>
      <c r="P4" s="1">
        <f t="shared" si="9"/>
        <v>6.7769269662676379E-7</v>
      </c>
      <c r="Q4" s="1">
        <f t="shared" si="10"/>
        <v>-1.0091626795372122E-4</v>
      </c>
      <c r="R4" s="1"/>
      <c r="S4" s="1">
        <f t="array" ref="S4:AA4">LINEST(K2:K12,A2:H12,TRUE,FALSE)</f>
        <v>1.1628516625939226E-2</v>
      </c>
      <c r="T4" s="1">
        <v>2.9681683409327794E-2</v>
      </c>
      <c r="U4" s="1">
        <v>-1.9737181302254476</v>
      </c>
      <c r="V4">
        <v>2.7211603129592006</v>
      </c>
      <c r="W4">
        <v>89.158856452864327</v>
      </c>
      <c r="X4">
        <v>-127.62781170388917</v>
      </c>
      <c r="Y4">
        <v>-2171.5661965315035</v>
      </c>
      <c r="Z4">
        <v>4841.1103679063408</v>
      </c>
      <c r="AA4">
        <v>20049.164488619186</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'SP3'!A117</f>
        <v>PG20</v>
      </c>
      <c r="J5">
        <f>'SP3'!B117</f>
        <v>14086.060808</v>
      </c>
      <c r="K5">
        <f>'SP3'!C117</f>
        <v>22433.158287999999</v>
      </c>
      <c r="L5">
        <f>'SP3'!D117</f>
        <v>2150.0360930000002</v>
      </c>
      <c r="M5">
        <f>'SP3'!E117</f>
        <v>55.817588000000001</v>
      </c>
      <c r="N5" s="1">
        <f t="shared" si="7"/>
        <v>1.2187705578980967E-5</v>
      </c>
      <c r="O5" s="1">
        <f t="shared" si="8"/>
        <v>-1.822771446313709E-5</v>
      </c>
      <c r="P5" s="1">
        <f t="shared" si="9"/>
        <v>-1.2000273272860795E-6</v>
      </c>
      <c r="Q5" s="1">
        <f t="shared" si="10"/>
        <v>1.8407837363554336E-4</v>
      </c>
      <c r="R5" s="1"/>
      <c r="S5" s="1">
        <f t="array" ref="S5:AA5">LINEST(L2:L12,A2:H12,TRUE,FALSE)</f>
        <v>-1.7892197261916293E-3</v>
      </c>
      <c r="T5" s="1">
        <v>5.7383890254718871E-2</v>
      </c>
      <c r="U5" s="1">
        <v>-0.25721034671837284</v>
      </c>
      <c r="V5">
        <v>-6.5465009439814539</v>
      </c>
      <c r="W5">
        <v>30.996623943424812</v>
      </c>
      <c r="X5">
        <v>458.76108936150547</v>
      </c>
      <c r="Y5">
        <v>-1404.1999610921853</v>
      </c>
      <c r="Z5">
        <v>-9884.1729816049119</v>
      </c>
      <c r="AA5">
        <v>10151.27276097482</v>
      </c>
    </row>
    <row r="6" spans="1:27">
      <c r="A6">
        <v>1</v>
      </c>
      <c r="B6">
        <f t="shared" si="0"/>
        <v>1</v>
      </c>
      <c r="C6">
        <f t="shared" si="1"/>
        <v>1</v>
      </c>
      <c r="D6">
        <f t="shared" si="2"/>
        <v>1</v>
      </c>
      <c r="E6">
        <f t="shared" si="3"/>
        <v>1</v>
      </c>
      <c r="F6">
        <f t="shared" si="4"/>
        <v>1</v>
      </c>
      <c r="G6">
        <f t="shared" si="5"/>
        <v>1</v>
      </c>
      <c r="H6">
        <f t="shared" si="6"/>
        <v>1</v>
      </c>
      <c r="I6" t="str">
        <f>'SP3'!A149</f>
        <v>PG20</v>
      </c>
      <c r="J6">
        <f>'SP3'!B149</f>
        <v>13863.642894000001</v>
      </c>
      <c r="K6">
        <f>'SP3'!C149</f>
        <v>22681.028472999998</v>
      </c>
      <c r="L6">
        <f>'SP3'!D149</f>
        <v>-654.09058400000004</v>
      </c>
      <c r="M6">
        <f>'SP3'!E149</f>
        <v>55.816589</v>
      </c>
      <c r="N6" s="1">
        <f t="shared" si="7"/>
        <v>-1.0914876838796772E-5</v>
      </c>
      <c r="O6" s="1">
        <f t="shared" si="8"/>
        <v>1.5874233213253319E-5</v>
      </c>
      <c r="P6" s="1">
        <f t="shared" si="9"/>
        <v>1.0375182455391041E-6</v>
      </c>
      <c r="Q6" s="1">
        <f t="shared" si="10"/>
        <v>-1.7333172402089758E-4</v>
      </c>
      <c r="R6" s="1"/>
      <c r="S6" s="1">
        <f t="array" ref="S6:AA6">LINEST(M2:M12,A2:H12,TRUE,FALSE)</f>
        <v>-3.2222208855789752E-3</v>
      </c>
      <c r="T6" s="1">
        <v>3.2041694196578464E-2</v>
      </c>
      <c r="U6" s="1">
        <v>-0.12932493870085779</v>
      </c>
      <c r="V6">
        <v>0.27147781107902058</v>
      </c>
      <c r="W6">
        <v>-0.31501410031207538</v>
      </c>
      <c r="X6">
        <v>0.19712304927766905</v>
      </c>
      <c r="Y6">
        <v>-5.8825398357475855E-2</v>
      </c>
      <c r="Z6">
        <v>3.4497756484203625E-3</v>
      </c>
      <c r="AA6">
        <v>55.819056659778312</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'SP3'!B183</f>
        <v>13478.779968000001</v>
      </c>
      <c r="K7">
        <f>'SP3'!C183</f>
        <v>22676.866215999999</v>
      </c>
      <c r="L7">
        <f>'SP3'!D183</f>
        <v>-3447.0093529999999</v>
      </c>
      <c r="M7">
        <f>'SP3'!E183</f>
        <v>55.816141999999999</v>
      </c>
      <c r="N7" s="1">
        <f t="shared" si="7"/>
        <v>6.0150523495394737E-7</v>
      </c>
      <c r="O7" s="1">
        <f t="shared" si="8"/>
        <v>1.8003993318416178E-7</v>
      </c>
      <c r="P7" s="1">
        <f t="shared" si="9"/>
        <v>3.0007413442945108E-8</v>
      </c>
      <c r="Q7" s="1">
        <f t="shared" si="10"/>
        <v>2.9431552952985385E-5</v>
      </c>
    </row>
    <row r="8" spans="1:27">
      <c r="A8">
        <v>1.5</v>
      </c>
      <c r="B8">
        <f t="shared" si="0"/>
        <v>2.25</v>
      </c>
      <c r="C8">
        <f t="shared" si="1"/>
        <v>3.375</v>
      </c>
      <c r="D8">
        <f t="shared" si="2"/>
        <v>5.0625</v>
      </c>
      <c r="E8">
        <f t="shared" si="3"/>
        <v>7.59375</v>
      </c>
      <c r="F8">
        <f t="shared" si="4"/>
        <v>11.390625</v>
      </c>
      <c r="G8">
        <f t="shared" si="5"/>
        <v>17.0859375</v>
      </c>
      <c r="H8">
        <f t="shared" si="6"/>
        <v>25.62890625</v>
      </c>
      <c r="J8">
        <f>'SP3'!B215</f>
        <v>12905.221994</v>
      </c>
      <c r="K8">
        <f>'SP3'!C215</f>
        <v>22444.416022000001</v>
      </c>
      <c r="L8">
        <f>'SP3'!D215</f>
        <v>-6180.9052160000001</v>
      </c>
      <c r="M8">
        <f>'SP3'!E215</f>
        <v>55.815852999999997</v>
      </c>
      <c r="N8" s="1">
        <f t="shared" si="7"/>
        <v>9.9123571999371052E-6</v>
      </c>
      <c r="O8" s="1">
        <f t="shared" si="8"/>
        <v>-1.6174308257177472E-5</v>
      </c>
      <c r="P8" s="1">
        <f t="shared" si="9"/>
        <v>-1.087531927623786E-6</v>
      </c>
      <c r="Q8" s="1">
        <f t="shared" si="10"/>
        <v>1.24279135711447E-4</v>
      </c>
      <c r="W8">
        <f t="array" ref="W8:AA8">LINEST(J2:J6,A2:D6,TRUE,FALSE)</f>
        <v>20.168672000018049</v>
      </c>
      <c r="X8">
        <v>-416.7700533333678</v>
      </c>
      <c r="Y8">
        <v>-183.37266999998155</v>
      </c>
      <c r="Z8">
        <v>339.86255233333247</v>
      </c>
      <c r="AA8">
        <v>14103.754393000001</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'SP3'!B247</f>
        <v>12122.611478000001</v>
      </c>
      <c r="K9">
        <f>'SP3'!C247</f>
        <v>22013.379997</v>
      </c>
      <c r="L9">
        <f>'SP3'!D247</f>
        <v>-8809.1142839999993</v>
      </c>
      <c r="M9">
        <f>'SP3'!E247</f>
        <v>55.815094000000002</v>
      </c>
      <c r="N9" s="1">
        <f t="shared" si="7"/>
        <v>-1.161484578915406E-5</v>
      </c>
      <c r="O9" s="1">
        <f t="shared" si="8"/>
        <v>1.8399183318251744E-5</v>
      </c>
      <c r="P9" s="1">
        <f t="shared" si="9"/>
        <v>1.2286054698051885E-6</v>
      </c>
      <c r="Q9" s="1">
        <f t="shared" si="10"/>
        <v>-1.5604832320548212E-4</v>
      </c>
      <c r="W9">
        <f t="array" ref="W9:AA9">LINEST(K2:K6,A2:D6,TRUE,FALSE)</f>
        <v>88.184853333393107</v>
      </c>
      <c r="X9">
        <v>-124.64529066677676</v>
      </c>
      <c r="Y9">
        <v>-2172.9758733332806</v>
      </c>
      <c r="Z9">
        <v>4841.3002946666629</v>
      </c>
      <c r="AA9">
        <v>20049.164488999995</v>
      </c>
    </row>
    <row r="10" spans="1:27">
      <c r="A10">
        <v>2</v>
      </c>
      <c r="B10">
        <f t="shared" si="0"/>
        <v>4</v>
      </c>
      <c r="C10">
        <f t="shared" si="1"/>
        <v>8</v>
      </c>
      <c r="D10">
        <f t="shared" si="2"/>
        <v>16</v>
      </c>
      <c r="E10">
        <f t="shared" si="3"/>
        <v>32</v>
      </c>
      <c r="F10">
        <f t="shared" si="4"/>
        <v>64</v>
      </c>
      <c r="G10">
        <f t="shared" si="5"/>
        <v>128</v>
      </c>
      <c r="H10">
        <f t="shared" si="6"/>
        <v>256</v>
      </c>
      <c r="J10">
        <f>'SP3'!B279</f>
        <v>11117.427989</v>
      </c>
      <c r="K10">
        <f>'SP3'!C279</f>
        <v>21418.174963000001</v>
      </c>
      <c r="L10">
        <f>'SP3'!D279</f>
        <v>-11286.900744</v>
      </c>
      <c r="M10">
        <f>'SP3'!E279</f>
        <v>55.814445999999997</v>
      </c>
      <c r="N10" s="1">
        <f t="shared" si="7"/>
        <v>6.5870517573785037E-6</v>
      </c>
      <c r="O10" s="1">
        <f t="shared" si="8"/>
        <v>-1.0333471436752006E-5</v>
      </c>
      <c r="P10" s="1">
        <f t="shared" si="9"/>
        <v>-6.8841109168715775E-7</v>
      </c>
      <c r="Q10" s="1">
        <f t="shared" si="10"/>
        <v>9.0404999006921116E-5</v>
      </c>
      <c r="W10">
        <f t="array" ref="W10:AA10">LINEST(L2:L6,A2:D6,TRUE,FALSE)</f>
        <v>13.887498666681928</v>
      </c>
      <c r="X10">
        <v>473.89990933329346</v>
      </c>
      <c r="Y10">
        <v>-1409.6308326666351</v>
      </c>
      <c r="Z10">
        <v>-9883.5199203333432</v>
      </c>
      <c r="AA10">
        <v>10151.272761</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'SP3'!B311</f>
        <v>9883.6732250000005</v>
      </c>
      <c r="K11">
        <f>'SP3'!C311</f>
        <v>20696.528533000001</v>
      </c>
      <c r="L11">
        <f>'SP3'!D311</f>
        <v>-13572.193176999999</v>
      </c>
      <c r="M11">
        <f>'SP3'!E311</f>
        <v>55.813639000000002</v>
      </c>
      <c r="N11" s="1">
        <f t="shared" si="7"/>
        <v>-1.9596791389631107E-6</v>
      </c>
      <c r="O11" s="1">
        <f t="shared" si="8"/>
        <v>3.0593837436754256E-6</v>
      </c>
      <c r="P11" s="1">
        <f t="shared" si="9"/>
        <v>2.0357038010843098E-7</v>
      </c>
      <c r="Q11" s="1">
        <f t="shared" si="10"/>
        <v>-2.7175972640236523E-5</v>
      </c>
      <c r="W11">
        <f t="array" ref="W11:AA11">LINEST(M2:M6,A2:D6,TRUE,FALSE)</f>
        <v>-2.5343999999904207E-2</v>
      </c>
      <c r="X11">
        <v>4.5749333333142968E-2</v>
      </c>
      <c r="Y11">
        <v>-2.3495999999894386E-2</v>
      </c>
      <c r="Z11">
        <v>6.2666666665938905E-4</v>
      </c>
      <c r="AA11">
        <v>55.819052999999997</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'SP3'!B343</f>
        <v>8423.2721820000006</v>
      </c>
      <c r="K12">
        <f>'SP3'!C343</f>
        <v>19887.968455999999</v>
      </c>
      <c r="L12">
        <f>'SP3'!D343</f>
        <v>-15626.269818999999</v>
      </c>
      <c r="M12">
        <f>'SP3'!E343</f>
        <v>55.812848000000002</v>
      </c>
      <c r="N12" s="1">
        <f t="shared" si="7"/>
        <v>2.4555447453167289E-7</v>
      </c>
      <c r="O12" s="1">
        <f t="shared" si="8"/>
        <v>-3.8224970921874046E-7</v>
      </c>
      <c r="P12" s="1">
        <f t="shared" si="9"/>
        <v>-2.5411281967535615E-8</v>
      </c>
      <c r="Q12" s="1">
        <f t="shared" si="10"/>
        <v>3.4261945458524679E-6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codeName="Foglio9"/>
  <dimension ref="A1:AA12"/>
  <sheetViews>
    <sheetView topLeftCell="C1" workbookViewId="0">
      <selection activeCell="N1" sqref="N1:AB12"/>
    </sheetView>
  </sheetViews>
  <sheetFormatPr defaultRowHeight="15"/>
  <cols>
    <col min="13" max="14" width="12.7109375" bestFit="1" customWidth="1"/>
    <col min="15" max="15" width="9.5703125" bestFit="1" customWidth="1"/>
    <col min="16" max="16" width="9.42578125" bestFit="1" customWidth="1"/>
    <col min="17" max="17" width="12.85546875" bestFit="1" customWidth="1"/>
  </cols>
  <sheetData>
    <row r="1" spans="1:27">
      <c r="A1" t="s">
        <v>110</v>
      </c>
      <c r="B1" t="s">
        <v>32</v>
      </c>
      <c r="C1" t="s">
        <v>33</v>
      </c>
      <c r="D1" t="s">
        <v>49</v>
      </c>
      <c r="E1" t="s">
        <v>111</v>
      </c>
      <c r="F1" t="s">
        <v>112</v>
      </c>
      <c r="G1" t="s">
        <v>113</v>
      </c>
      <c r="H1" t="s">
        <v>114</v>
      </c>
      <c r="J1" t="s">
        <v>34</v>
      </c>
      <c r="K1" t="s">
        <v>35</v>
      </c>
      <c r="L1" t="s">
        <v>36</v>
      </c>
      <c r="M1" t="s">
        <v>37</v>
      </c>
      <c r="N1" t="s">
        <v>42</v>
      </c>
      <c r="O1" t="s">
        <v>43</v>
      </c>
      <c r="P1" t="s">
        <v>44</v>
      </c>
      <c r="Q1" t="s">
        <v>45</v>
      </c>
      <c r="X1" t="s">
        <v>46</v>
      </c>
    </row>
    <row r="2" spans="1:27">
      <c r="A2">
        <v>0</v>
      </c>
      <c r="B2">
        <f>A2^2</f>
        <v>0</v>
      </c>
      <c r="C2">
        <f>A2^3</f>
        <v>0</v>
      </c>
      <c r="D2">
        <f>A2^4</f>
        <v>0</v>
      </c>
      <c r="E2">
        <f>A2^5</f>
        <v>0</v>
      </c>
      <c r="F2">
        <f>A2^6</f>
        <v>0</v>
      </c>
      <c r="G2">
        <f>A2^7</f>
        <v>0</v>
      </c>
      <c r="H2">
        <f>A2^8</f>
        <v>0</v>
      </c>
      <c r="I2" t="str">
        <f>'SP3'!A24</f>
        <v>PG23</v>
      </c>
      <c r="J2">
        <f>'SP3'!B24</f>
        <v>11556.146638</v>
      </c>
      <c r="K2">
        <f>'SP3'!C24</f>
        <v>9703.7129850000001</v>
      </c>
      <c r="L2">
        <f>'SP3'!D24</f>
        <v>21838.356103999999</v>
      </c>
      <c r="M2">
        <f>'SP3'!E24</f>
        <v>370.05889300000001</v>
      </c>
      <c r="N2" s="1">
        <f>J2-($AA$3+$Z$3*$A2+$Y$3*$B2+$X$3*$C2+$W$3*$D2+$V$3*$E2+$U$3*$F2+$T$3*$G2+$S$3*$H2)</f>
        <v>4.3881300371140242E-8</v>
      </c>
      <c r="O2" s="1">
        <f>K2-($AA$4+$Z$4*$A2+$Y$4*$B2+$X$4*$C2+$W$4*$D2+$V$4*$E2+$U$4*$F2+$T$4*$G2+$S$4*$H2)</f>
        <v>-6.4264168031513691E-7</v>
      </c>
      <c r="P2" s="1">
        <f>L2-($AA$5+$Z$5*$A2+$Y$5*$B2+$X$5*$C2+$W$5*$D2+$V$5*$E2+$U$5*$F2+$T$5*$G2+$S$5*$H2)</f>
        <v>-1.0481016943231225E-8</v>
      </c>
      <c r="Q2" s="1">
        <f>M2-($AA$6+$Z$6*$A2+$Y$6*$B2+$X$6*$C2+$W$6*$D2+$V$6*$E2+$U$6*$F2+$T$6*$G2+$S$6*$H2)</f>
        <v>-2.94983692583628E-7</v>
      </c>
      <c r="R2" s="1"/>
      <c r="S2" s="1" t="s">
        <v>115</v>
      </c>
      <c r="T2" s="1" t="s">
        <v>116</v>
      </c>
      <c r="U2" s="1" t="s">
        <v>117</v>
      </c>
      <c r="V2" t="s">
        <v>118</v>
      </c>
      <c r="W2" t="s">
        <v>50</v>
      </c>
      <c r="X2" t="s">
        <v>39</v>
      </c>
      <c r="Y2" t="s">
        <v>38</v>
      </c>
      <c r="Z2" t="s">
        <v>40</v>
      </c>
      <c r="AA2" t="s">
        <v>41</v>
      </c>
    </row>
    <row r="3" spans="1:27">
      <c r="A3">
        <f>15/60</f>
        <v>0.25</v>
      </c>
      <c r="B3">
        <f t="shared" ref="B3:B12" si="0">A3^2</f>
        <v>6.25E-2</v>
      </c>
      <c r="C3">
        <f t="shared" ref="C3:C12" si="1">A3^3</f>
        <v>1.5625E-2</v>
      </c>
      <c r="D3">
        <f t="shared" ref="D3:D12" si="2">A3^4</f>
        <v>3.90625E-3</v>
      </c>
      <c r="E3">
        <f t="shared" ref="E3:E12" si="3">A3^5</f>
        <v>9.765625E-4</v>
      </c>
      <c r="F3">
        <f t="shared" ref="F3:F12" si="4">A3^6</f>
        <v>2.44140625E-4</v>
      </c>
      <c r="G3">
        <f t="shared" ref="G3:G12" si="5">A3^7</f>
        <v>6.103515625E-5</v>
      </c>
      <c r="H3">
        <f t="shared" ref="H3:H12" si="6">A3^8</f>
        <v>1.52587890625E-5</v>
      </c>
      <c r="I3" t="str">
        <f>'SP3'!A56</f>
        <v>PG23</v>
      </c>
      <c r="J3">
        <f>'SP3'!B56</f>
        <v>9839.6545119999992</v>
      </c>
      <c r="K3">
        <f>'SP3'!C56</f>
        <v>11520.718239</v>
      </c>
      <c r="L3">
        <f>'SP3'!D56</f>
        <v>21768.269645</v>
      </c>
      <c r="M3">
        <f>'SP3'!E56</f>
        <v>370.05768499999999</v>
      </c>
      <c r="N3" s="1">
        <f t="shared" ref="N3:N12" si="7">J3-($AA$3+$Z$3*$A3+$Y$3*$B3+$X$3*$C3+$W$3*$D3+$V$3*$E3+$U$3*$F3+$T$3*$G3+$S$3*H3)</f>
        <v>-3.608984115999192E-7</v>
      </c>
      <c r="O3" s="1">
        <f t="shared" ref="O3:O12" si="8">K3-($AA$4+$Z$4*$A3+$Y$4*$B3+$X$4*$C3+$W$4*$D3+$V$4*$E3+$U$4*$F3+$T$4*$G3+$S$4*$H3)</f>
        <v>5.1411461754469201E-6</v>
      </c>
      <c r="P3" s="1">
        <f t="shared" ref="P3:P12" si="9">L3-($AA$5+$Z$5*$A3+$Y$5*$B3+$X$5*$C3+$W$5*$D3+$V$5*$E3+$U$5*$F3+$T$5*$G3+$S$5*$H3)</f>
        <v>8.5976353147998452E-8</v>
      </c>
      <c r="Q3" s="1">
        <f t="shared" ref="Q3:Q12" si="10">M3-($AA$6+$Z$6*$A3+$Y$6*$B3+$X$6*$C3+$W$6*$D3+$V$6*$E3+$U$6*$F3+$T$6*$G3+$S$6*$H3)</f>
        <v>3.0851717269797518E-6</v>
      </c>
      <c r="R3" s="1"/>
      <c r="S3" s="1">
        <f t="array" ref="S3:AA3">LINEST(J2:J12,A2:H12,TRUE,FALSE)</f>
        <v>-2.3113656136020698E-2</v>
      </c>
      <c r="T3" s="1">
        <v>0.21306463456033292</v>
      </c>
      <c r="U3" s="1">
        <v>1.1041002778772635</v>
      </c>
      <c r="V3">
        <v>-10.958263914077085</v>
      </c>
      <c r="W3">
        <v>-57.686950839892681</v>
      </c>
      <c r="X3">
        <v>386.26850535866055</v>
      </c>
      <c r="Y3">
        <v>661.35984131388454</v>
      </c>
      <c r="Z3">
        <v>-7054.507208798901</v>
      </c>
      <c r="AA3">
        <v>11556.146637956119</v>
      </c>
    </row>
    <row r="4" spans="1:27">
      <c r="A4">
        <v>0.5</v>
      </c>
      <c r="B4">
        <f t="shared" si="0"/>
        <v>0.25</v>
      </c>
      <c r="C4">
        <f t="shared" si="1"/>
        <v>0.125</v>
      </c>
      <c r="D4">
        <f t="shared" si="2"/>
        <v>6.25E-2</v>
      </c>
      <c r="E4">
        <f t="shared" si="3"/>
        <v>3.125E-2</v>
      </c>
      <c r="F4">
        <f t="shared" si="4"/>
        <v>1.5625E-2</v>
      </c>
      <c r="G4">
        <f t="shared" si="5"/>
        <v>7.8125E-3</v>
      </c>
      <c r="H4">
        <f t="shared" si="6"/>
        <v>3.90625E-3</v>
      </c>
      <c r="I4" t="str">
        <f>'SP3'!A88</f>
        <v>PG23</v>
      </c>
      <c r="J4">
        <f>'SP3'!B88</f>
        <v>8238.5875039999992</v>
      </c>
      <c r="K4">
        <f>'SP3'!C88</f>
        <v>13405.973856000001</v>
      </c>
      <c r="L4">
        <f>'SP3'!D88</f>
        <v>21322.003283999999</v>
      </c>
      <c r="M4">
        <f>'SP3'!E88</f>
        <v>370.05633</v>
      </c>
      <c r="N4" s="1">
        <f t="shared" si="7"/>
        <v>1.2732562026940286E-6</v>
      </c>
      <c r="O4" s="1">
        <f t="shared" si="8"/>
        <v>-1.7351438145851716E-5</v>
      </c>
      <c r="P4" s="1">
        <f t="shared" si="9"/>
        <v>-3.017230483237654E-7</v>
      </c>
      <c r="Q4" s="1">
        <f t="shared" si="10"/>
        <v>-1.4492281763978099E-5</v>
      </c>
      <c r="R4" s="1"/>
      <c r="S4" s="1">
        <f t="array" ref="S4:AA4">LINEST(K2:K12,A2:H12,TRUE,FALSE)</f>
        <v>6.1234687255065613E-4</v>
      </c>
      <c r="T4" s="1">
        <v>-0.23368399608584459</v>
      </c>
      <c r="U4" s="1">
        <v>1.7797788050595758</v>
      </c>
      <c r="V4">
        <v>9.3421518745114636</v>
      </c>
      <c r="W4">
        <v>-66.594211722470732</v>
      </c>
      <c r="X4">
        <v>-365.13943805482643</v>
      </c>
      <c r="Y4">
        <v>846.60194750181552</v>
      </c>
      <c r="Z4">
        <v>7080.1940815943617</v>
      </c>
      <c r="AA4">
        <v>9703.7129856426418</v>
      </c>
    </row>
    <row r="5" spans="1:27">
      <c r="A5">
        <v>0.75</v>
      </c>
      <c r="B5">
        <f t="shared" si="0"/>
        <v>0.5625</v>
      </c>
      <c r="C5">
        <f t="shared" si="1"/>
        <v>0.421875</v>
      </c>
      <c r="D5">
        <f t="shared" si="2"/>
        <v>0.31640625</v>
      </c>
      <c r="E5">
        <f t="shared" si="3"/>
        <v>0.2373046875</v>
      </c>
      <c r="F5">
        <f t="shared" si="4"/>
        <v>0.177978515625</v>
      </c>
      <c r="G5">
        <f t="shared" si="5"/>
        <v>0.13348388671875</v>
      </c>
      <c r="H5">
        <f t="shared" si="6"/>
        <v>0.1001129150390625</v>
      </c>
      <c r="I5" t="str">
        <f>'SP3'!A120</f>
        <v>PG23</v>
      </c>
      <c r="J5">
        <f>'SP3'!B120</f>
        <v>6779.6078390000002</v>
      </c>
      <c r="K5">
        <f>'SP3'!C120</f>
        <v>15317.460714999999</v>
      </c>
      <c r="L5">
        <f>'SP3'!D120</f>
        <v>20506.340036000001</v>
      </c>
      <c r="M5">
        <f>'SP3'!E120</f>
        <v>370.05516999999998</v>
      </c>
      <c r="N5" s="1">
        <f t="shared" si="7"/>
        <v>-2.459938514220994E-6</v>
      </c>
      <c r="O5" s="1">
        <f t="shared" si="8"/>
        <v>3.084721538471058E-5</v>
      </c>
      <c r="P5" s="1">
        <f t="shared" si="9"/>
        <v>5.775436875410378E-7</v>
      </c>
      <c r="Q5" s="1">
        <f t="shared" si="10"/>
        <v>4.0270107547257794E-5</v>
      </c>
      <c r="R5" s="1"/>
      <c r="S5" s="1">
        <f t="array" ref="S5:AA5">LINEST(L2:L12,A2:H12,TRUE,FALSE)</f>
        <v>5.220774587207053E-3</v>
      </c>
      <c r="T5" s="1">
        <v>-3.0767040729546651E-2</v>
      </c>
      <c r="U5" s="1">
        <v>-0.61453887653343364</v>
      </c>
      <c r="V5">
        <v>1.0027622918245855</v>
      </c>
      <c r="W5">
        <v>69.350683051494968</v>
      </c>
      <c r="X5">
        <v>-32.345253798773989</v>
      </c>
      <c r="Y5">
        <v>-3015.6800701882607</v>
      </c>
      <c r="Z5">
        <v>474.50884538923344</v>
      </c>
      <c r="AA5">
        <v>21838.35610401048</v>
      </c>
    </row>
    <row r="6" spans="1:27">
      <c r="A6">
        <v>1</v>
      </c>
      <c r="B6">
        <f t="shared" si="0"/>
        <v>1</v>
      </c>
      <c r="C6">
        <f t="shared" si="1"/>
        <v>1</v>
      </c>
      <c r="D6">
        <f t="shared" si="2"/>
        <v>1</v>
      </c>
      <c r="E6">
        <f t="shared" si="3"/>
        <v>1</v>
      </c>
      <c r="F6">
        <f t="shared" si="4"/>
        <v>1</v>
      </c>
      <c r="G6">
        <f t="shared" si="5"/>
        <v>1</v>
      </c>
      <c r="H6">
        <f t="shared" si="6"/>
        <v>1</v>
      </c>
      <c r="I6" t="str">
        <f>'SP3'!A152</f>
        <v>PG23</v>
      </c>
      <c r="J6">
        <f>'SP3'!B152</f>
        <v>5481.9166150000001</v>
      </c>
      <c r="K6">
        <f>'SP3'!C152</f>
        <v>17209.664196999998</v>
      </c>
      <c r="L6">
        <f>'SP3'!D152</f>
        <v>19334.552984999998</v>
      </c>
      <c r="M6">
        <f>'SP3'!E152</f>
        <v>370.05383499999999</v>
      </c>
      <c r="N6" s="1">
        <f t="shared" si="7"/>
        <v>2.6679053917177953E-6</v>
      </c>
      <c r="O6" s="1">
        <f t="shared" si="8"/>
        <v>-2.6991885533789173E-5</v>
      </c>
      <c r="P6" s="1">
        <f t="shared" si="9"/>
        <v>-6.1332684708759189E-7</v>
      </c>
      <c r="Q6" s="1">
        <f t="shared" si="10"/>
        <v>-7.3314728695095255E-5</v>
      </c>
      <c r="R6" s="1"/>
      <c r="S6" s="1">
        <f t="array" ref="S6:AA6">LINEST(M2:M12,A2:H12,TRUE,FALSE)</f>
        <v>-1.0111679196902212E-3</v>
      </c>
      <c r="T6" s="1">
        <v>9.8848885339711777E-3</v>
      </c>
      <c r="U6" s="1">
        <v>-3.9336641206361364E-2</v>
      </c>
      <c r="V6">
        <v>8.2214488053386839E-2</v>
      </c>
      <c r="W6">
        <v>-9.7102527679388581E-2</v>
      </c>
      <c r="X6">
        <v>6.4495060952916933E-2</v>
      </c>
      <c r="Y6">
        <v>-2.1979678416152826E-2</v>
      </c>
      <c r="Z6">
        <v>-2.149402573752574E-3</v>
      </c>
      <c r="AA6">
        <v>370.0588932949837</v>
      </c>
    </row>
    <row r="7" spans="1:27">
      <c r="A7">
        <v>1.25</v>
      </c>
      <c r="B7">
        <f t="shared" si="0"/>
        <v>1.5625</v>
      </c>
      <c r="C7">
        <f t="shared" si="1"/>
        <v>1.953125</v>
      </c>
      <c r="D7">
        <f t="shared" si="2"/>
        <v>2.44140625</v>
      </c>
      <c r="E7">
        <f t="shared" si="3"/>
        <v>3.0517578125</v>
      </c>
      <c r="F7">
        <f t="shared" si="4"/>
        <v>3.814697265625</v>
      </c>
      <c r="G7">
        <f t="shared" si="5"/>
        <v>4.76837158203125</v>
      </c>
      <c r="H7">
        <f t="shared" si="6"/>
        <v>5.9604644775390625</v>
      </c>
      <c r="J7">
        <f>'SP3'!B186</f>
        <v>4356.6288139999997</v>
      </c>
      <c r="K7">
        <f>'SP3'!C186</f>
        <v>19035.213301</v>
      </c>
      <c r="L7">
        <f>'SP3'!D186</f>
        <v>17826.231236</v>
      </c>
      <c r="M7">
        <f>'SP3'!E186</f>
        <v>370.05280399999998</v>
      </c>
      <c r="N7" s="1">
        <f t="shared" si="7"/>
        <v>-1.2371156117296778E-6</v>
      </c>
      <c r="O7" s="1">
        <f t="shared" si="8"/>
        <v>1.3642420526593924E-9</v>
      </c>
      <c r="P7" s="1">
        <f t="shared" si="9"/>
        <v>2.5915869628079236E-7</v>
      </c>
      <c r="Q7" s="1">
        <f t="shared" si="10"/>
        <v>9.1388122712032782E-5</v>
      </c>
    </row>
    <row r="8" spans="1:27">
      <c r="A8">
        <v>1.5</v>
      </c>
      <c r="B8">
        <f t="shared" si="0"/>
        <v>2.25</v>
      </c>
      <c r="C8">
        <f t="shared" si="1"/>
        <v>3.375</v>
      </c>
      <c r="D8">
        <f t="shared" si="2"/>
        <v>5.0625</v>
      </c>
      <c r="E8">
        <f t="shared" si="3"/>
        <v>7.59375</v>
      </c>
      <c r="F8">
        <f t="shared" si="4"/>
        <v>11.390625</v>
      </c>
      <c r="G8">
        <f t="shared" si="5"/>
        <v>17.0859375</v>
      </c>
      <c r="H8">
        <f t="shared" si="6"/>
        <v>25.62890625</v>
      </c>
      <c r="J8">
        <f>'SP3'!B218</f>
        <v>3406.471591</v>
      </c>
      <c r="K8">
        <f>'SP3'!C218</f>
        <v>20746.617459000001</v>
      </c>
      <c r="L8">
        <f>'SP3'!D218</f>
        <v>16006.984678999999</v>
      </c>
      <c r="M8">
        <f>'SP3'!E218</f>
        <v>370.05144999999999</v>
      </c>
      <c r="N8" s="1">
        <f t="shared" si="7"/>
        <v>-6.0605725593632087E-7</v>
      </c>
      <c r="O8" s="1">
        <f t="shared" si="8"/>
        <v>2.6989608159055933E-5</v>
      </c>
      <c r="P8" s="1">
        <f t="shared" si="9"/>
        <v>1.8141145119443536E-7</v>
      </c>
      <c r="Q8" s="1">
        <f t="shared" si="10"/>
        <v>-7.8998809271979553E-5</v>
      </c>
      <c r="W8">
        <f t="array" ref="W8:AA8">LINEST(J2:J6,A2:D6,TRUE,FALSE)</f>
        <v>-79.585354666634501</v>
      </c>
      <c r="X8">
        <v>403.77509866658539</v>
      </c>
      <c r="Y8">
        <v>655.3882126667329</v>
      </c>
      <c r="Z8">
        <v>-7053.8079796666834</v>
      </c>
      <c r="AA8">
        <v>11556.146638</v>
      </c>
    </row>
    <row r="9" spans="1:27">
      <c r="A9">
        <v>1.75</v>
      </c>
      <c r="B9">
        <f t="shared" si="0"/>
        <v>3.0625</v>
      </c>
      <c r="C9">
        <f t="shared" si="1"/>
        <v>5.359375</v>
      </c>
      <c r="D9">
        <f t="shared" si="2"/>
        <v>9.37890625</v>
      </c>
      <c r="E9">
        <f t="shared" si="3"/>
        <v>16.4130859375</v>
      </c>
      <c r="F9">
        <f t="shared" si="4"/>
        <v>28.722900390625</v>
      </c>
      <c r="G9">
        <f t="shared" si="5"/>
        <v>50.26507568359375</v>
      </c>
      <c r="H9">
        <f t="shared" si="6"/>
        <v>87.963882446289062</v>
      </c>
      <c r="J9">
        <f>'SP3'!B250</f>
        <v>2625.821383</v>
      </c>
      <c r="K9">
        <f>'SP3'!C250</f>
        <v>22298.032689</v>
      </c>
      <c r="L9">
        <f>'SP3'!D250</f>
        <v>13908.029395</v>
      </c>
      <c r="M9">
        <f>'SP3'!E250</f>
        <v>370.050253</v>
      </c>
      <c r="N9" s="1">
        <f t="shared" si="7"/>
        <v>1.2817295100830961E-6</v>
      </c>
      <c r="O9" s="1">
        <f t="shared" si="8"/>
        <v>-3.0845916626276448E-5</v>
      </c>
      <c r="P9" s="1">
        <f t="shared" si="9"/>
        <v>-3.3072683436330408E-7</v>
      </c>
      <c r="Q9" s="1">
        <f t="shared" si="10"/>
        <v>4.6766199716330448E-5</v>
      </c>
      <c r="W9">
        <f t="array" ref="W9:AA9">LINEST(K2:K6,A2:D6,TRUE,FALSE)</f>
        <v>-37.285311999996992</v>
      </c>
      <c r="X9">
        <v>-392.2759893333432</v>
      </c>
      <c r="Y9">
        <v>856.52222000000688</v>
      </c>
      <c r="Z9">
        <v>7078.9902933333306</v>
      </c>
      <c r="AA9">
        <v>9703.7129850000001</v>
      </c>
    </row>
    <row r="10" spans="1:27">
      <c r="A10">
        <v>2</v>
      </c>
      <c r="B10">
        <f t="shared" si="0"/>
        <v>4</v>
      </c>
      <c r="C10">
        <f t="shared" si="1"/>
        <v>8</v>
      </c>
      <c r="D10">
        <f t="shared" si="2"/>
        <v>16</v>
      </c>
      <c r="E10">
        <f t="shared" si="3"/>
        <v>32</v>
      </c>
      <c r="F10">
        <f t="shared" si="4"/>
        <v>64</v>
      </c>
      <c r="G10">
        <f t="shared" si="5"/>
        <v>128</v>
      </c>
      <c r="H10">
        <f t="shared" si="6"/>
        <v>256</v>
      </c>
      <c r="J10">
        <f>'SP3'!B282</f>
        <v>2001.0815640000001</v>
      </c>
      <c r="K10">
        <f>'SP3'!C282</f>
        <v>23646.985977</v>
      </c>
      <c r="L10">
        <f>'SP3'!D282</f>
        <v>11565.658654999999</v>
      </c>
      <c r="M10">
        <f>'SP3'!E282</f>
        <v>370.04870299999999</v>
      </c>
      <c r="N10" s="1">
        <f t="shared" si="7"/>
        <v>-8.3143572737753857E-7</v>
      </c>
      <c r="O10" s="1">
        <f t="shared" si="8"/>
        <v>1.7350947018712759E-5</v>
      </c>
      <c r="P10" s="1">
        <f t="shared" si="9"/>
        <v>2.0917650545015931E-7</v>
      </c>
      <c r="Q10" s="1">
        <f t="shared" si="10"/>
        <v>-1.8146333502500056E-5</v>
      </c>
      <c r="W10">
        <f t="array" ref="W10:AA10">LINEST(L2:L6,A2:D6,TRUE,FALSE)</f>
        <v>69.227402666491386</v>
      </c>
      <c r="X10">
        <v>-31.488943999666429</v>
      </c>
      <c r="Y10">
        <v>-3016.1094966668602</v>
      </c>
      <c r="Z10">
        <v>474.56791900003537</v>
      </c>
      <c r="AA10">
        <v>21838.356103999999</v>
      </c>
    </row>
    <row r="11" spans="1:27">
      <c r="A11">
        <v>2.25</v>
      </c>
      <c r="B11">
        <f t="shared" si="0"/>
        <v>5.0625</v>
      </c>
      <c r="C11">
        <f t="shared" si="1"/>
        <v>11.390625</v>
      </c>
      <c r="D11">
        <f t="shared" si="2"/>
        <v>25.62890625</v>
      </c>
      <c r="E11">
        <f t="shared" si="3"/>
        <v>57.6650390625</v>
      </c>
      <c r="F11">
        <f t="shared" si="4"/>
        <v>129.746337890625</v>
      </c>
      <c r="G11">
        <f t="shared" si="5"/>
        <v>291.92926025390625</v>
      </c>
      <c r="H11">
        <f t="shared" si="6"/>
        <v>656.84083557128906</v>
      </c>
      <c r="J11">
        <f>'SP3'!B314</f>
        <v>1511.387913</v>
      </c>
      <c r="K11">
        <f>'SP3'!C314</f>
        <v>24755.987155999999</v>
      </c>
      <c r="L11">
        <f>'SP3'!D314</f>
        <v>9020.6077249999998</v>
      </c>
      <c r="M11">
        <f>'SP3'!E314</f>
        <v>370.04742499999998</v>
      </c>
      <c r="N11" s="1">
        <f t="shared" si="7"/>
        <v>2.6271095521224197E-7</v>
      </c>
      <c r="O11" s="1">
        <f t="shared" si="8"/>
        <v>-5.1410388550721109E-6</v>
      </c>
      <c r="P11" s="1">
        <f t="shared" si="9"/>
        <v>-6.5399945015087724E-8</v>
      </c>
      <c r="Q11" s="1">
        <f t="shared" si="10"/>
        <v>4.1678538309497526E-6</v>
      </c>
      <c r="W11">
        <f t="array" ref="W11:AA11">LINEST(M2:M6,A2:D6,TRUE,FALSE)</f>
        <v>-7.5946666650753931E-3</v>
      </c>
      <c r="X11">
        <v>1.5039999996891302E-2</v>
      </c>
      <c r="Y11">
        <v>-9.1333333314573151E-3</v>
      </c>
      <c r="Z11">
        <v>-3.3700000003781365E-3</v>
      </c>
      <c r="AA11">
        <v>370.05889300000001</v>
      </c>
    </row>
    <row r="12" spans="1:27">
      <c r="A12">
        <v>2.5</v>
      </c>
      <c r="B12">
        <f t="shared" si="0"/>
        <v>6.25</v>
      </c>
      <c r="C12">
        <f t="shared" si="1"/>
        <v>15.625</v>
      </c>
      <c r="D12">
        <f t="shared" si="2"/>
        <v>39.0625</v>
      </c>
      <c r="E12">
        <f t="shared" si="3"/>
        <v>97.65625</v>
      </c>
      <c r="F12">
        <f t="shared" si="4"/>
        <v>244.140625</v>
      </c>
      <c r="G12">
        <f t="shared" si="5"/>
        <v>610.3515625</v>
      </c>
      <c r="H12">
        <f t="shared" si="6"/>
        <v>1525.87890625</v>
      </c>
      <c r="J12">
        <f>'SP3'!B346</f>
        <v>1129.614967</v>
      </c>
      <c r="K12">
        <f>'SP3'!C346</f>
        <v>25593.961050999998</v>
      </c>
      <c r="L12">
        <f>'SP3'!D346</f>
        <v>6317.3239030000004</v>
      </c>
      <c r="M12">
        <f>'SP3'!E346</f>
        <v>370.04623800000002</v>
      </c>
      <c r="N12" s="1">
        <f t="shared" si="7"/>
        <v>-3.40660335496068E-8</v>
      </c>
      <c r="O12" s="1">
        <f t="shared" si="8"/>
        <v>6.4263076637871563E-7</v>
      </c>
      <c r="P12" s="1">
        <f t="shared" si="9"/>
        <v>8.4373823483474553E-9</v>
      </c>
      <c r="Q12" s="1">
        <f t="shared" si="10"/>
        <v>-4.3031894847445074E-7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sheetPr codeName="Foglio12"/>
  <dimension ref="A1:DD201"/>
  <sheetViews>
    <sheetView zoomScale="80" zoomScaleNormal="80" workbookViewId="0">
      <selection activeCell="D2" sqref="D2"/>
    </sheetView>
  </sheetViews>
  <sheetFormatPr defaultRowHeight="15"/>
  <cols>
    <col min="4" max="5" width="13" bestFit="1" customWidth="1"/>
    <col min="6" max="6" width="10.5703125" bestFit="1" customWidth="1"/>
    <col min="7" max="8" width="13" bestFit="1" customWidth="1"/>
    <col min="9" max="9" width="5.5703125" customWidth="1"/>
    <col min="10" max="10" width="10.28515625" bestFit="1" customWidth="1"/>
    <col min="11" max="11" width="11" bestFit="1" customWidth="1"/>
    <col min="12" max="12" width="10.28515625" bestFit="1" customWidth="1"/>
    <col min="13" max="13" width="13.7109375" style="5" bestFit="1" customWidth="1"/>
    <col min="15" max="15" width="10.5703125" bestFit="1" customWidth="1"/>
    <col min="16" max="19" width="11.5703125" bestFit="1" customWidth="1"/>
    <col min="20" max="20" width="10.7109375" bestFit="1" customWidth="1"/>
    <col min="21" max="21" width="14.5703125" bestFit="1" customWidth="1"/>
    <col min="22" max="22" width="9.28515625" bestFit="1" customWidth="1"/>
    <col min="23" max="23" width="9.28515625" customWidth="1"/>
    <col min="30" max="30" width="9.7109375" bestFit="1" customWidth="1"/>
    <col min="53" max="53" width="12" customWidth="1"/>
    <col min="54" max="54" width="10.5703125" bestFit="1" customWidth="1"/>
    <col min="55" max="55" width="11.28515625" customWidth="1"/>
    <col min="56" max="56" width="11.42578125" bestFit="1" customWidth="1"/>
    <col min="57" max="57" width="10.28515625" bestFit="1" customWidth="1"/>
    <col min="58" max="58" width="11.42578125" bestFit="1" customWidth="1"/>
    <col min="59" max="61" width="13" bestFit="1" customWidth="1"/>
    <col min="62" max="62" width="13.7109375" bestFit="1" customWidth="1"/>
  </cols>
  <sheetData>
    <row r="1" spans="1:108">
      <c r="B1" t="s">
        <v>108</v>
      </c>
      <c r="D1" t="s">
        <v>51</v>
      </c>
      <c r="E1" t="s">
        <v>52</v>
      </c>
      <c r="F1" t="s">
        <v>53</v>
      </c>
      <c r="G1" t="s">
        <v>54</v>
      </c>
      <c r="H1" t="s">
        <v>55</v>
      </c>
      <c r="J1" t="s">
        <v>56</v>
      </c>
      <c r="K1" t="s">
        <v>57</v>
      </c>
      <c r="L1" t="s">
        <v>58</v>
      </c>
      <c r="M1" s="5" t="s">
        <v>109</v>
      </c>
      <c r="O1" t="s">
        <v>48</v>
      </c>
      <c r="Q1" t="s">
        <v>141</v>
      </c>
      <c r="R1" t="s">
        <v>140</v>
      </c>
      <c r="S1" t="s">
        <v>139</v>
      </c>
      <c r="T1" t="s">
        <v>138</v>
      </c>
      <c r="U1" t="s">
        <v>123</v>
      </c>
      <c r="V1" t="s">
        <v>124</v>
      </c>
      <c r="Y1" t="s">
        <v>59</v>
      </c>
      <c r="Z1" t="s">
        <v>60</v>
      </c>
      <c r="AA1" t="s">
        <v>61</v>
      </c>
      <c r="AB1" t="s">
        <v>62</v>
      </c>
      <c r="AF1" t="s">
        <v>63</v>
      </c>
      <c r="AM1" t="s">
        <v>64</v>
      </c>
      <c r="AR1" t="s">
        <v>65</v>
      </c>
      <c r="AV1" t="s">
        <v>66</v>
      </c>
      <c r="AX1" t="s">
        <v>67</v>
      </c>
      <c r="BA1" t="s">
        <v>68</v>
      </c>
      <c r="BB1" t="s">
        <v>125</v>
      </c>
      <c r="BD1" t="s">
        <v>56</v>
      </c>
      <c r="BE1" t="s">
        <v>57</v>
      </c>
      <c r="BF1" t="s">
        <v>58</v>
      </c>
      <c r="BG1" t="s">
        <v>126</v>
      </c>
      <c r="BH1" t="s">
        <v>78</v>
      </c>
      <c r="BI1" t="s">
        <v>79</v>
      </c>
      <c r="BJ1" t="s">
        <v>80</v>
      </c>
      <c r="BL1" t="s">
        <v>81</v>
      </c>
      <c r="BM1" t="s">
        <v>82</v>
      </c>
      <c r="BN1" t="s">
        <v>83</v>
      </c>
      <c r="BO1" t="s">
        <v>84</v>
      </c>
      <c r="BP1" t="s">
        <v>85</v>
      </c>
      <c r="BQ1" t="s">
        <v>86</v>
      </c>
      <c r="BS1" t="s">
        <v>93</v>
      </c>
      <c r="BT1" t="s">
        <v>94</v>
      </c>
      <c r="BU1" t="s">
        <v>95</v>
      </c>
      <c r="BX1" t="s">
        <v>90</v>
      </c>
      <c r="BY1" t="s">
        <v>91</v>
      </c>
      <c r="BZ1" t="s">
        <v>92</v>
      </c>
      <c r="CB1" t="s">
        <v>96</v>
      </c>
      <c r="CD1" t="s">
        <v>87</v>
      </c>
      <c r="CE1" t="s">
        <v>88</v>
      </c>
      <c r="CF1" t="s">
        <v>89</v>
      </c>
      <c r="CI1" t="s">
        <v>97</v>
      </c>
      <c r="CN1" t="s">
        <v>99</v>
      </c>
      <c r="CS1" t="s">
        <v>98</v>
      </c>
      <c r="CW1" t="s">
        <v>100</v>
      </c>
      <c r="CX1" t="s">
        <v>101</v>
      </c>
      <c r="CY1" t="s">
        <v>102</v>
      </c>
      <c r="CZ1" t="s">
        <v>104</v>
      </c>
      <c r="DA1" t="s">
        <v>103</v>
      </c>
      <c r="DB1" t="s">
        <v>105</v>
      </c>
      <c r="DC1" t="s">
        <v>107</v>
      </c>
      <c r="DD1" t="s">
        <v>106</v>
      </c>
    </row>
    <row r="2" spans="1:108">
      <c r="A2">
        <v>0</v>
      </c>
      <c r="B2">
        <f>(60-45)/60+30*A2/3600</f>
        <v>0.25</v>
      </c>
      <c r="C2">
        <v>2</v>
      </c>
      <c r="D2">
        <v>22932685.280999999</v>
      </c>
      <c r="E2">
        <v>120512076.57048</v>
      </c>
      <c r="F2">
        <v>2610.605</v>
      </c>
      <c r="G2">
        <v>22932681.993999999</v>
      </c>
      <c r="H2">
        <v>93905503.231460005</v>
      </c>
      <c r="J2" s="5">
        <f>'sv02'!$AA$3+'sv02'!$Z$3*($B2)+'sv02'!$Y$3*($B2)^2+'sv02'!$X$3*($B2)^3+'sv02'!$W$3*($B2)^4+'sv02'!$V$3*($B2)^5+'sv02'!$U$3*($B2)^6+'sv02'!$T$3*($B2)^7+'sv02'!$S$3*($B2)^8</f>
        <v>5575.7636030607446</v>
      </c>
      <c r="K2" s="5">
        <f>'sv02'!$AA$4+'sv02'!$Z$4*($B2)+'sv02'!$Y$4*($B2)^2+'sv02'!$X$4*($B2)^3+'sv02'!$W$4*($B2)^4+'sv02'!$V$4*($B2)^5+'sv02'!$U$4*($B2)^6+'sv02'!$T$4*($B2)^7+'sv02'!$S$4*($B2)^8</f>
        <v>-14805.568693734773</v>
      </c>
      <c r="L2" s="5">
        <f>'sv02'!$AA$5+'sv02'!$Z$5*($B2)+'sv02'!$Y$5*($B2)^2+'sv02'!$X$5*($B2)^3+'sv02'!$W$5*($B2)^4+'sv02'!$V$5*($B2)^5+'sv02'!$U$5*($B2)^6+'sv02'!$T$5*($B2)^7+'sv02'!$S$5*($B2)^8</f>
        <v>21270.940010780625</v>
      </c>
      <c r="M2" s="5">
        <f>'sv02'!$AA$6+'sv02'!$Z$6*$B2+'sv02'!$Y$6*$B2^2+'sv02'!$X$6*$B2^3+'sv02'!$W$6*$B2^4+'sv02'!$V$6*$B2^5+'sv02'!$U$6*$B2^6+'sv02'!$T$6*$B2^7+'sv02'!$S$6*$B2^8</f>
        <v>257.58976891582398</v>
      </c>
      <c r="O2">
        <f>SQRT(($J2*1000-coord!$B$2)^2+($K2*1000-coord!$C$2)^2+($L2*1000-coord!$D$2)^2)/coord!$B$6</f>
        <v>7.6752638189669653E-2</v>
      </c>
      <c r="P2">
        <v>2</v>
      </c>
      <c r="Q2" s="5">
        <f>'sv02'!$AA$3+'sv02'!$Z$3*($B2-$O2/3600)+'sv02'!$Y$3*($B2-$O2/3600)^2+'sv02'!$X$3*($B2-$O2/3600)^3+'sv02'!$W$3*($B2-$O2/3600)^4+'sv02'!$V$3*($B2-$O2/3600)^5+'sv02'!$U$3*($B2-$O2/3600)^6+'sv02'!$T$3*($B2-$O2/3600)^7+'sv02'!$S$3*($B2-$O2/3600)^8+K2*coord!$B$7*O2</f>
        <v>5575.475823888768</v>
      </c>
      <c r="R2" s="5">
        <f>'sv02'!$AA$4+'sv02'!$Z$4*($B2-$O2/3600)+'sv02'!$Y$4*($B2-$O2/3600)^2+'sv02'!$X$4*($B2-$O2/3600)^3+'sv02'!$W$4*($B2-$O2/3600)^4+'sv02'!$V$4*($B2-$O2/3600)^5+'sv02'!$U$4*($B2-$O2/3600)^6+'sv02'!$T$4*($B2-$O2/3600)^7+'sv02'!$S$4*($B2-$O2/3600)^8-J2*coord!$B$7*O2</f>
        <v>-14805.639812696492</v>
      </c>
      <c r="S2" s="5">
        <f>'sv02'!$AA$5+'sv02'!$Z$5*($B2-$O2/3600)+'sv02'!$Y$5*($B2-$O2/3600)^2+'sv02'!$X$5*($B2-$O2/3600)^3+'sv02'!$W$5*($B2-$O2/3600)^4+'sv02'!$V$5*($B2-$O2/3600)^5+'sv02'!$U$5*($B2-$O2/3600)^6+'sv02'!$T$5*($B2-$O2/3600)^7+'sv02'!$S$5*($B2-$O2/3600)^8</f>
        <v>21270.969418530265</v>
      </c>
      <c r="T2">
        <f>coord!$B$6*M2/10^6</f>
        <v>77223.469978926863</v>
      </c>
      <c r="U2">
        <f>SQRT(($Q2*1000+coord!$B$7*$O2*$R2*1000-coord!$B$2)^2+($R2*1000-coord!$B$7*$O2*$Q2*1000-coord!$C$2)^2+($S2*1000-coord!$D$2)^2)</f>
        <v>23009934.306139909</v>
      </c>
      <c r="V2" s="3">
        <f>$D2-(U2-$T2)-coord!$E$2</f>
        <v>-25.555160980671644</v>
      </c>
      <c r="W2" s="3"/>
      <c r="Y2">
        <f>-(Q2*1000-coord!$B$2)/$U2</f>
        <v>-5.1568928329019152E-2</v>
      </c>
      <c r="Z2">
        <f>-(R2*1000-coord!$C$2)/$U2</f>
        <v>0.68362689856524639</v>
      </c>
      <c r="AA2">
        <f>-(S2*1000-coord!$D$2)/$U2</f>
        <v>-0.72800647413236519</v>
      </c>
      <c r="AB2">
        <v>1</v>
      </c>
      <c r="AD2">
        <f t="array" ref="AD2:AJ5">TRANSPOSE(Y2:AB8)</f>
        <v>-5.1568928329019152E-2</v>
      </c>
      <c r="AE2">
        <v>-0.26001096839178872</v>
      </c>
      <c r="AF2">
        <v>-0.12117017430594521</v>
      </c>
      <c r="AG2">
        <v>-0.76513983562029897</v>
      </c>
      <c r="AH2">
        <v>-0.43184244852402848</v>
      </c>
      <c r="AI2">
        <v>-0.5613841214279105</v>
      </c>
      <c r="AJ2">
        <v>-0.96351568306705471</v>
      </c>
      <c r="AL2">
        <f t="array" ref="AL2:AO5">MMULT(AD2:AJ5,Y2:AB8)</f>
        <v>2.1003887409022188</v>
      </c>
      <c r="AM2">
        <v>0.38561043418195851</v>
      </c>
      <c r="AN2">
        <v>1.1151223016963425</v>
      </c>
      <c r="AO2">
        <v>-3.1546321596660456</v>
      </c>
      <c r="AQ2">
        <f t="array" ref="AQ2:AT5">MINVERSE(AL2:AO5)</f>
        <v>2.439370466922933</v>
      </c>
      <c r="AR2">
        <v>-0.19292915261911744</v>
      </c>
      <c r="AS2">
        <v>1.2853372769639875</v>
      </c>
      <c r="AT2">
        <v>1.7379329045548952</v>
      </c>
      <c r="AV2">
        <f t="array" ref="AV2:AV5">MMULT(AD2:AJ5,V2:V8)</f>
        <v>8.1250816769410203</v>
      </c>
      <c r="AX2">
        <f t="array" ref="AX2:AX5">MMULT(AQ2:AT5,AV2:AV5)</f>
        <v>8.0800496245547606</v>
      </c>
      <c r="BA2">
        <f>SQRT(($Q2*1000+coord!$B$7*$O2*$R2*1000-coord!$B$2-AX$2)^2+($R2*1000-coord!$B$7*$O2*$Q2*1000-coord!$C$2-AX$3)^2+($S2*1000-coord!$D$2-AX$4)^2)</f>
        <v>23009909.34389016</v>
      </c>
      <c r="BB2" s="3">
        <f>$D2-(BA2-$T2)-(coord!$E$2+AX$5)</f>
        <v>-6.0424600854203305</v>
      </c>
      <c r="BC2" s="3"/>
      <c r="BD2" s="1">
        <f>coord!$B$2+$AX2</f>
        <v>4388886.2508496251</v>
      </c>
      <c r="BE2" s="1">
        <f>coord!$C$2+$AX3</f>
        <v>924549.79625457269</v>
      </c>
      <c r="BF2" s="1">
        <f>coord!$D$2+$AX4</f>
        <v>4519602.8181268554</v>
      </c>
      <c r="BG2" s="1">
        <f>coord!$E$2+$AX5</f>
        <v>5.4495488531574807</v>
      </c>
      <c r="BH2" s="8">
        <f>lat($BD2,$BE2,$BF2)</f>
        <v>45.41123944537766</v>
      </c>
      <c r="BI2" s="8">
        <f>lon($BD2,$BE2,$BF2)</f>
        <v>11.895830042384365</v>
      </c>
      <c r="BJ2" s="6">
        <f>h($BD2,$BE2,$BF2)</f>
        <v>75.074714809656143</v>
      </c>
      <c r="BL2">
        <f>grado($BH2)</f>
        <v>45</v>
      </c>
      <c r="BM2">
        <f>MINUTOprimo($BH2)</f>
        <v>24</v>
      </c>
      <c r="BN2">
        <f>MINUTOsecondo($BH2)</f>
        <v>40.462003359576784</v>
      </c>
      <c r="BO2">
        <f>grado($BI2)</f>
        <v>11</v>
      </c>
      <c r="BP2">
        <f>MINUTOprimo($BI2)</f>
        <v>53</v>
      </c>
      <c r="BQ2">
        <f>MINUTOsecondo($BI2)</f>
        <v>44.98815258371252</v>
      </c>
      <c r="BR2" t="s">
        <v>90</v>
      </c>
      <c r="BS2">
        <f>-SIN(RADIANS(BH2))*COS(RADIANS(BI2))</f>
        <v>-0.69686933408148277</v>
      </c>
      <c r="BT2">
        <f>-SIN(RADIANS(BI2))</f>
        <v>-0.20613296946561951</v>
      </c>
      <c r="BU2">
        <f>COS(RADIANS(BH2))*COS(RADIANS(BI2))</f>
        <v>0.68693691858577288</v>
      </c>
      <c r="BW2" t="s">
        <v>93</v>
      </c>
      <c r="BX2">
        <f t="array" ref="BX2:BZ4">MINVERSE(BS2:BU4)</f>
        <v>-0.69686933408148288</v>
      </c>
      <c r="BY2">
        <v>-0.1468004327330939</v>
      </c>
      <c r="BZ2">
        <v>0.70201336466352782</v>
      </c>
      <c r="CA2">
        <v>0</v>
      </c>
      <c r="CB2" s="1">
        <f t="array" ref="CB2:CB4">MMULT(BX2:BZ4,AX2:AX4)</f>
        <v>7.5764384483442377</v>
      </c>
      <c r="CD2" s="1">
        <f t="array" ref="CD2:CF2">TRANSPOSE(CB2:CB4)</f>
        <v>7.5764384483442377</v>
      </c>
      <c r="CE2" s="1">
        <v>-21.64403552451963</v>
      </c>
      <c r="CF2" s="1">
        <v>12.953573590414184</v>
      </c>
      <c r="CH2">
        <f t="array" ref="CH2:CK5">MMULT(BX2:CA5,AQ2:AT5)</f>
        <v>-0.76927644324235822</v>
      </c>
      <c r="CI2">
        <v>0.19728802963015116</v>
      </c>
      <c r="CJ2">
        <v>0.59119589573784515</v>
      </c>
      <c r="CK2">
        <v>-5.8193217428019528E-2</v>
      </c>
      <c r="CM2">
        <f t="array" ref="CM2:CP5">TRANSPOSE(BX2:CA5)</f>
        <v>-0.69686933408148288</v>
      </c>
      <c r="CN2">
        <v>-0.20613296946561951</v>
      </c>
      <c r="CO2">
        <v>0.68693691858577299</v>
      </c>
      <c r="CP2">
        <v>0</v>
      </c>
      <c r="CR2" s="5">
        <f t="array" ref="CR2:CU5">MMULT(CH2:CK5,CM2:CP5)</f>
        <v>0.92215061454630098</v>
      </c>
      <c r="CS2" s="5">
        <v>0.35162430750772178</v>
      </c>
      <c r="CT2" s="5">
        <v>-7.886691550852204E-2</v>
      </c>
      <c r="CU2" s="5">
        <v>-5.8193217428019528E-2</v>
      </c>
      <c r="CW2" s="3">
        <f>SQRT(CR2+CS3)</f>
        <v>1.2528581123331974</v>
      </c>
      <c r="CX2" s="3">
        <f>SQRT(CT4)</f>
        <v>1.8746955856703615</v>
      </c>
      <c r="CY2" s="3">
        <f>SQRT(CU5)</f>
        <v>1.3181065437332458</v>
      </c>
      <c r="CZ2" s="3">
        <f>BD9</f>
        <v>4.9998731722610215</v>
      </c>
      <c r="DA2">
        <v>6</v>
      </c>
      <c r="DB2" s="6">
        <f>CY2*DA2*CZ2</f>
        <v>39.542193277161324</v>
      </c>
      <c r="DC2">
        <v>5.33</v>
      </c>
      <c r="DD2" s="6">
        <f>CZ2*DC2*SQRT(0.5*(CR2+CS3)+SQRT((0.5*(CR2-CS3))^2+CS2^2))</f>
        <v>28.730828165786672</v>
      </c>
    </row>
    <row r="3" spans="1:108">
      <c r="A3">
        <v>0</v>
      </c>
      <c r="B3">
        <f t="shared" ref="B3:B8" si="0">(60-45)/60+30*A3/3600</f>
        <v>0.25</v>
      </c>
      <c r="C3">
        <v>23</v>
      </c>
      <c r="D3">
        <v>20853421.219999999</v>
      </c>
      <c r="E3">
        <v>109585465.27948999</v>
      </c>
      <c r="F3">
        <v>-1713.347</v>
      </c>
      <c r="G3">
        <v>20853417.714000002</v>
      </c>
      <c r="H3">
        <v>85391258.372480005</v>
      </c>
      <c r="J3" s="5">
        <f>'sv23'!$AA$3+'sv23'!$Z$3*($B3)+'sv23'!$Y$3*($B3)^2+'sv23'!$X$3*($B3)^3+'sv23'!$W$3*($B3)^4+'sv23'!$V$3*($B3)^5+'sv23'!$U$3*($B3)^6+'sv23'!$T$3*($B3)^7+'sv23'!$S$3*($B3)^8</f>
        <v>9839.6545123608976</v>
      </c>
      <c r="K3" s="5">
        <f>'sv23'!$AA$4+'sv23'!$Z$4*($B3)+'sv23'!$Y$4*($B3)^2+'sv23'!$X$4*($B3)^3+'sv23'!$W$4*($B3)^4+'sv23'!$V$4*($B3)^5+'sv23'!$U$4*($B3)^6+'sv23'!$T$4*($B3)^7+'sv23'!$S$4*($B3)^8</f>
        <v>11520.718233858854</v>
      </c>
      <c r="L3" s="5">
        <f>'sv23'!$AA$5+'sv23'!$Z$5*($B3)+'sv23'!$Y$5*($B3)^2+'sv23'!$X$5*($B3)^3+'sv23'!$W$5*($B3)^4+'sv23'!$V$5*($B3)^5+'sv23'!$U$5*($B3)^6+'sv23'!$T$5*($B3)^7+'sv23'!$S$5*($B3)^8</f>
        <v>21768.269644914024</v>
      </c>
      <c r="M3" s="5">
        <f>'sv23'!$AA$6+'sv23'!$Z$6*$B3+'sv23'!$Y$6*$B3^2+'sv23'!$X$6*$B3^3+'sv23'!$W$6*$B3^4+'sv23'!$V$6*$B3^5+'sv23'!$U$6*$B3^6+'sv23'!$T$6*$B3^7+'sv23'!$S$6*$B3^8</f>
        <v>370.05768191482827</v>
      </c>
      <c r="O3">
        <f>SQRT(($J3*1000-coord!$B$2)^2+($K3*1000-coord!$C$2)^2+($L3*1000-coord!$D$2)^2)/coord!$B$6</f>
        <v>6.9929731640517787E-2</v>
      </c>
      <c r="P3">
        <v>23</v>
      </c>
      <c r="Q3" s="5">
        <f>'sv23'!$AA$3+'sv23'!$Z$3*($B3-$O3/3600)+'sv23'!$Y$3*($B3-$O3/3600)^2+'sv23'!$X$3*($B3-$O3/3600)^3+'sv23'!$W$3*($B3-$O3/3600)^4+'sv23'!$V$3*($B3-$O3/3600)^5+'sv23'!$U$3*($B3-$O3/3600)^6+'sv23'!$T$3*($B3-$O3/3600)^7+'sv23'!$S$3*($B3-$O3/3600)^8+K3*coord!$B$7*O3</f>
        <v>9839.8425380081844</v>
      </c>
      <c r="R3" s="5">
        <f>'sv23'!$AA$4+'sv23'!$Z$4*($B3-$O3/3600)+'sv23'!$Y$4*($B3-$O3/3600)^2+'sv23'!$X$4*($B3-$O3/3600)^3+'sv23'!$W$4*($B3-$O3/3600)^4+'sv23'!$V$4*($B3-$O3/3600)^5+'sv23'!$U$4*($B3-$O3/3600)^6+'sv23'!$T$4*($B3-$O3/3600)^7+'sv23'!$S$4*($B3-$O3/3600)^8-J3*coord!$B$7*O3</f>
        <v>11520.523710338563</v>
      </c>
      <c r="S3" s="5">
        <f>'sv23'!$AA$5+'sv23'!$Z$5*($B3-$O3/3600)+'sv23'!$Y$5*($B3-$O3/3600)^2+'sv23'!$X$5*($B3-$O3/3600)^3+'sv23'!$W$5*($B3-$O3/3600)^4+'sv23'!$V$5*($B3-$O3/3600)^5+'sv23'!$U$5*($B3-$O3/3600)^6+'sv23'!$T$5*($B3-$O3/3600)^7+'sv23'!$S$5*($B3-$O3/3600)^8</f>
        <v>21768.28974945992</v>
      </c>
      <c r="T3">
        <f>coord!$B$6*M3/10^6</f>
        <v>110940.50206302851</v>
      </c>
      <c r="U3">
        <f>SQRT(($Q3*1000+coord!$B$7*$O3*$R3*1000-coord!$B$2)^2+($R3*1000-coord!$B$7*$O3*$Q3*1000-coord!$C$2)^2+($S3*1000-coord!$D$2)^2)</f>
        <v>20964363.160997823</v>
      </c>
      <c r="V3" s="3">
        <f>$D3-(U3-$T3)-coord!$E$2</f>
        <v>-1.4389347955584526</v>
      </c>
      <c r="W3" s="3"/>
      <c r="Y3">
        <f>-(Q3*1000-coord!$B$2)/$U3</f>
        <v>-0.26001096839178872</v>
      </c>
      <c r="Z3">
        <f>-(R3*1000-coord!$C$2)/$U3</f>
        <v>-0.5054269197573964</v>
      </c>
      <c r="AA3">
        <f>-(S3*1000-coord!$D$2)/$U3</f>
        <v>-0.82276295934662436</v>
      </c>
      <c r="AB3">
        <v>1</v>
      </c>
      <c r="AD3">
        <v>0.68362689856524639</v>
      </c>
      <c r="AE3">
        <v>-0.5054269197573964</v>
      </c>
      <c r="AF3">
        <v>0.81847221481365551</v>
      </c>
      <c r="AG3">
        <v>0.39651476672016361</v>
      </c>
      <c r="AH3">
        <v>-0.89163959215527078</v>
      </c>
      <c r="AI3">
        <v>-0.13127389287139038</v>
      </c>
      <c r="AJ3">
        <v>-0.24210146511308134</v>
      </c>
      <c r="AL3">
        <v>0.38561043418195851</v>
      </c>
      <c r="AM3">
        <v>2.420789950964831</v>
      </c>
      <c r="AN3">
        <v>-0.54177227831591446</v>
      </c>
      <c r="AO3">
        <v>0.12817201020192664</v>
      </c>
      <c r="AQ3">
        <v>-0.19292915261911728</v>
      </c>
      <c r="AR3">
        <v>0.4867024499431315</v>
      </c>
      <c r="AS3">
        <v>0.19129229804312245</v>
      </c>
      <c r="AT3">
        <v>-1.3422703529481349E-3</v>
      </c>
      <c r="AV3">
        <v>-53.490347455360698</v>
      </c>
      <c r="AX3">
        <v>-20.416945427254046</v>
      </c>
      <c r="BA3">
        <f>SQRT(($Q3*1000+coord!$B$7*$O3*$R3*1000-coord!$B$2-AX$2)^2+($R3*1000-coord!$B$7*$O3*$Q3*1000-coord!$C$2-AX$3)^2+($S3*1000-coord!$D$2-AX$4)^2)</f>
        <v>20964359.413192809</v>
      </c>
      <c r="BB3" s="3">
        <f>$D3-(BA3-$T3)-(coord!$E$2+AX$5)</f>
        <v>-3.1406786344632707</v>
      </c>
      <c r="BC3" s="3"/>
      <c r="BD3" s="1"/>
      <c r="BE3" s="1"/>
      <c r="BF3" s="1"/>
      <c r="BR3" t="s">
        <v>91</v>
      </c>
      <c r="BS3">
        <f>-SIN(RADIANS(BH2))*SIN(RADIANS(BI2))</f>
        <v>-0.14680043273309387</v>
      </c>
      <c r="BT3">
        <f>COS(RADIANS(BI2))</f>
        <v>0.97852398994571721</v>
      </c>
      <c r="BU3">
        <f>COS(RADIANS(BH2))*SIN(RADIANS(BI2))</f>
        <v>0.14470809946264376</v>
      </c>
      <c r="BW3" t="s">
        <v>94</v>
      </c>
      <c r="BX3">
        <v>-0.20613296946561951</v>
      </c>
      <c r="BY3">
        <v>0.9785239899457171</v>
      </c>
      <c r="BZ3">
        <v>0</v>
      </c>
      <c r="CA3">
        <v>0</v>
      </c>
      <c r="CB3" s="1">
        <v>-21.64403552451963</v>
      </c>
      <c r="CD3" s="1"/>
      <c r="CE3" s="1"/>
      <c r="CF3" s="1"/>
      <c r="CH3">
        <v>-0.69162048217126382</v>
      </c>
      <c r="CI3">
        <v>0.51601908236057303</v>
      </c>
      <c r="CJ3">
        <v>-7.7766286938398682E-2</v>
      </c>
      <c r="CK3">
        <v>-0.35955871408926232</v>
      </c>
      <c r="CM3">
        <v>-0.1468004327330939</v>
      </c>
      <c r="CN3">
        <v>0.9785239899457171</v>
      </c>
      <c r="CO3">
        <v>0.14470809946264379</v>
      </c>
      <c r="CP3">
        <v>0</v>
      </c>
      <c r="CR3" s="5">
        <v>0.35162430750772194</v>
      </c>
      <c r="CS3" s="5">
        <v>0.64750283509280171</v>
      </c>
      <c r="CT3" s="5">
        <v>-0.45580983427274113</v>
      </c>
      <c r="CU3" s="5">
        <v>-0.35955871408926232</v>
      </c>
    </row>
    <row r="4" spans="1:108">
      <c r="A4">
        <v>0</v>
      </c>
      <c r="B4">
        <f t="shared" si="0"/>
        <v>0.25</v>
      </c>
      <c r="C4">
        <v>10</v>
      </c>
      <c r="D4">
        <v>23348010.057999998</v>
      </c>
      <c r="E4">
        <v>122694617.53547999</v>
      </c>
      <c r="F4">
        <v>3130.683</v>
      </c>
      <c r="G4">
        <v>23348010.173999999</v>
      </c>
      <c r="H4">
        <v>95606198.168449998</v>
      </c>
      <c r="J4" s="5">
        <f>'sv10'!$AA$3+'sv10'!$Z$3*($B4)+'sv10'!$Y$3*($B4)^2+'sv10'!$X$3*($B4)^3+'sv10'!$W$3*($B4)^4+'sv10'!$V$3*($B4)^5+'sv10'!$U$3*($B4)^6+'sv10'!$T$3*($B4)^7+'sv10'!$S$3*($B4)^8</f>
        <v>7216.5738552998246</v>
      </c>
      <c r="K4" s="5">
        <f>'sv10'!$AA$4+'sv10'!$Z$4*($B4)+'sv10'!$Y$4*($B4)^2+'sv10'!$X$4*($B4)^3+'sv10'!$W$4*($B4)^4+'sv10'!$V$4*($B4)^5+'sv10'!$U$4*($B4)^6+'sv10'!$T$4*($B4)^7+'sv10'!$S$4*($B4)^8</f>
        <v>-18174.38359195046</v>
      </c>
      <c r="L4" s="5">
        <f>'sv10'!$AA$5+'sv10'!$Z$5*($B4)+'sv10'!$Y$5*($B4)^2+'sv10'!$X$5*($B4)^3+'sv10'!$W$5*($B4)^4+'sv10'!$V$5*($B4)^5+'sv10'!$U$5*($B4)^6+'sv10'!$T$5*($B4)^7+'sv10'!$S$5*($B4)^8</f>
        <v>17625.254464810878</v>
      </c>
      <c r="M4" s="5">
        <f>'sv10'!$AA$6+'sv10'!$Z$6*$B4+'sv10'!$Y$6*$B4^2+'sv10'!$X$6*$B4^3+'sv10'!$W$6*$B4^4+'sv10'!$V$6*$B4^5+'sv10'!$U$6*$B4^6+'sv10'!$T$6*$B4^7+'sv10'!$S$6*$B4^8</f>
        <v>-43.000473929301364</v>
      </c>
      <c r="O4">
        <f>SQRT(($J4*1000-coord!$B$2)^2+($K4*1000-coord!$C$2)^2+($L4*1000-coord!$D$2)^2)/coord!$B$6</f>
        <v>7.7837336041039748E-2</v>
      </c>
      <c r="P4">
        <v>10</v>
      </c>
      <c r="Q4" s="5">
        <f>'sv10'!$AA$3+'sv10'!$Z$3*($B4-$O4/3600)+'sv10'!$Y$3*($B4-$O4/3600)^2+'sv10'!$X$3*($B4-$O4/3600)^3+'sv10'!$W$3*($B4-$O4/3600)^4+'sv10'!$V$3*($B4-$O4/3600)^5+'sv10'!$U$3*($B4-$O4/3600)^6+'sv10'!$T$3*($B4-$O4/3600)^7+'sv10'!$S$3*($B4-$O4/3600)^8+K4*coord!$B$7*O4</f>
        <v>7216.4005115086984</v>
      </c>
      <c r="R4" s="5">
        <f>'sv10'!$AA$4+'sv10'!$Z$4*($B4-$O4/3600)+'sv10'!$Y$4*($B4-$O4/3600)^2+'sv10'!$X$4*($B4-$O4/3600)^3+'sv10'!$W$4*($B4-$O4/3600)^4+'sv10'!$V$4*($B4-$O4/3600)^5+'sv10'!$U$4*($B4-$O4/3600)^6+'sv10'!$T$4*($B4-$O4/3600)^7+'sv10'!$S$4*($B4-$O4/3600)^8-J4*coord!$B$7*O4</f>
        <v>-18174.589178876497</v>
      </c>
      <c r="S4" s="5">
        <f>'sv10'!$AA$5+'sv10'!$Z$5*($B4-$O4/3600)+'sv10'!$Y$5*($B4-$O4/3600)^2+'sv10'!$X$5*($B4-$O4/3600)^3+'sv10'!$W$5*($B4-$O4/3600)^4+'sv10'!$V$5*($B4-$O4/3600)^5+'sv10'!$U$5*($B4-$O4/3600)^6+'sv10'!$T$5*($B4-$O4/3600)^7+'sv10'!$S$5*($B4-$O4/3600)^8</f>
        <v>17625.11225384066</v>
      </c>
      <c r="T4">
        <f>coord!$B$6*M4/10^6</f>
        <v>-12891.217774430173</v>
      </c>
      <c r="U4">
        <f>SQRT(($Q4*1000+coord!$B$7*$O4*$R4*1000-coord!$B$2)^2+($R4*1000-coord!$B$7*$O4*$Q4*1000-coord!$C$2)^2+($S4*1000-coord!$D$2)^2)</f>
        <v>23335134.713674881</v>
      </c>
      <c r="V4" s="3">
        <f>$D4-(U4-$T4)-coord!$E$2</f>
        <v>-15.873449310660362</v>
      </c>
      <c r="W4" s="3"/>
      <c r="Y4">
        <f>-(Q4*1000-coord!$B$2)/$U4</f>
        <v>-0.12117017430594521</v>
      </c>
      <c r="Z4">
        <f>-(R4*1000-coord!$C$2)/$U4</f>
        <v>0.81847221481365551</v>
      </c>
      <c r="AA4">
        <f>-(S4*1000-coord!$D$2)/$U4</f>
        <v>-0.5616219550624898</v>
      </c>
      <c r="AB4">
        <v>1</v>
      </c>
      <c r="AD4">
        <v>-0.72800647413236519</v>
      </c>
      <c r="AE4">
        <v>-0.82276295934662436</v>
      </c>
      <c r="AF4">
        <v>-0.5616219550624898</v>
      </c>
      <c r="AG4">
        <v>-0.50728284117543954</v>
      </c>
      <c r="AH4">
        <v>-0.13598767156592065</v>
      </c>
      <c r="AI4">
        <v>-0.81707714508759555</v>
      </c>
      <c r="AJ4">
        <v>0.11412489898317904</v>
      </c>
      <c r="AL4">
        <v>1.1151223016963425</v>
      </c>
      <c r="AM4">
        <v>-0.54177227831591446</v>
      </c>
      <c r="AN4">
        <v>2.4788196154210298</v>
      </c>
      <c r="AO4">
        <v>-3.458614147387256</v>
      </c>
      <c r="AQ4">
        <v>1.2853372769639888</v>
      </c>
      <c r="AR4">
        <v>0.19129229804312228</v>
      </c>
      <c r="AS4">
        <v>2.1580640717049775</v>
      </c>
      <c r="AT4">
        <v>1.6420227029884042</v>
      </c>
      <c r="AV4">
        <v>37.275215107224163</v>
      </c>
      <c r="AX4">
        <v>14.54382685525907</v>
      </c>
      <c r="BA4">
        <f>SQRT(($Q4*1000+coord!$B$7*$O4*$R4*1000-coord!$B$2-AX$2)^2+($R4*1000-coord!$B$7*$O4*$Q4*1000-coord!$C$2-AX$3)^2+($S4*1000-coord!$D$2-AX$4)^2)</f>
        <v>23335108.85577926</v>
      </c>
      <c r="BB4" s="3">
        <f>$D4-(BA4-$T4)-(coord!$E$2+AX$5)</f>
        <v>4.5348974563494124</v>
      </c>
      <c r="BC4" s="3"/>
      <c r="BD4" s="1"/>
      <c r="BE4" s="1"/>
      <c r="BF4" s="1"/>
      <c r="BR4" t="s">
        <v>92</v>
      </c>
      <c r="BS4">
        <f>COS(RADIANS(BH2))</f>
        <v>0.70201336466352771</v>
      </c>
      <c r="BT4">
        <v>0</v>
      </c>
      <c r="BU4">
        <f>SIN(RADIANS(BH2))</f>
        <v>0.71216377037433798</v>
      </c>
      <c r="BW4" t="s">
        <v>95</v>
      </c>
      <c r="BX4">
        <v>0.68693691858577299</v>
      </c>
      <c r="BY4">
        <v>0.14470809946264379</v>
      </c>
      <c r="BZ4">
        <v>0.71216377037433809</v>
      </c>
      <c r="CA4">
        <v>0</v>
      </c>
      <c r="CB4" s="1">
        <v>12.953573590414184</v>
      </c>
      <c r="CD4" s="1"/>
      <c r="CE4" s="1"/>
      <c r="CF4" s="1"/>
      <c r="CH4">
        <v>2.5631458621960861</v>
      </c>
      <c r="CI4">
        <v>7.4131073147503806E-2</v>
      </c>
      <c r="CJ4">
        <v>2.4475222192875443</v>
      </c>
      <c r="CK4">
        <v>2.3630451159725059</v>
      </c>
      <c r="CM4">
        <v>0.70201336466352782</v>
      </c>
      <c r="CN4">
        <v>0</v>
      </c>
      <c r="CO4">
        <v>0.71216377037433809</v>
      </c>
      <c r="CP4">
        <v>0</v>
      </c>
      <c r="CR4" s="5">
        <v>-7.8866915508523316E-2</v>
      </c>
      <c r="CS4" s="5">
        <v>-0.45580983427274158</v>
      </c>
      <c r="CT4" s="5">
        <v>3.5144835389319402</v>
      </c>
      <c r="CU4" s="5">
        <v>2.3630451159725059</v>
      </c>
    </row>
    <row r="5" spans="1:108">
      <c r="A5">
        <v>0</v>
      </c>
      <c r="B5">
        <f t="shared" si="0"/>
        <v>0.25</v>
      </c>
      <c r="C5">
        <v>4</v>
      </c>
      <c r="D5">
        <v>21052366.907000002</v>
      </c>
      <c r="E5">
        <v>110630933.63749</v>
      </c>
      <c r="F5">
        <v>-500.15199999999999</v>
      </c>
      <c r="G5">
        <v>21052366.25</v>
      </c>
      <c r="H5">
        <v>86205919.462469995</v>
      </c>
      <c r="J5" s="5">
        <f>'sv04'!$AA$3+'sv04'!$Z$3*($B5)+'sv04'!$Y$3*($B5)^2+'sv04'!$X$3*($B5)^3+'sv04'!$W$3*($B5)^4+'sv04'!$V$3*($B5)^5+'sv04'!$U$3*($B5)^6+'sv04'!$T$3*($B5)^7+'sv04'!$S$3*($B5)^8</f>
        <v>20516.924905512991</v>
      </c>
      <c r="K5" s="5">
        <f>'sv04'!$AA$4+'sv04'!$Z$4*($B5)+'sv04'!$Y$4*($B5)^2+'sv04'!$X$4*($B5)^3+'sv04'!$W$4*($B5)^4+'sv04'!$V$4*($B5)^5+'sv04'!$U$4*($B5)^6+'sv04'!$T$4*($B5)^7+'sv04'!$S$4*($B5)^8</f>
        <v>-7433.1557949291928</v>
      </c>
      <c r="L5" s="5">
        <f>'sv04'!$AA$5+'sv04'!$Z$5*($B5)+'sv04'!$Y$5*($B5)^2+'sv04'!$X$5*($B5)^3+'sv04'!$W$5*($B5)^4+'sv04'!$V$5*($B5)^5+'sv04'!$U$5*($B5)^6+'sv04'!$T$5*($B5)^7+'sv04'!$S$5*($B5)^8</f>
        <v>15212.114375982748</v>
      </c>
      <c r="M5" s="5">
        <f>'sv04'!$AA$6+'sv04'!$Z$6*$B5+'sv04'!$Y$6*$B5^2+'sv04'!$X$6*$B5^3+'sv04'!$W$6*$B5^4+'sv04'!$V$6*$B5^5+'sv04'!$U$6*$B5^6+'sv04'!$T$6*$B5^7+'sv04'!$S$6*$B5^8</f>
        <v>86.594856978187465</v>
      </c>
      <c r="O5">
        <f>SQRT(($J5*1000-coord!$B$2)^2+($K5*1000-coord!$C$2)^2+($L5*1000-coord!$D$2)^2)/coord!$B$6</f>
        <v>7.0309708650387687E-2</v>
      </c>
      <c r="P5">
        <v>4</v>
      </c>
      <c r="Q5" s="5">
        <f>'sv04'!$AA$3+'sv04'!$Z$3*($B5-$O5/3600)+'sv04'!$Y$3*($B5-$O5/3600)^2+'sv04'!$X$3*($B5-$O5/3600)^3+'sv04'!$W$3*($B5-$O5/3600)^4+'sv04'!$V$3*($B5-$O5/3600)^5+'sv04'!$U$3*($B5-$O5/3600)^6+'sv04'!$T$3*($B5-$O5/3600)^7+'sv04'!$S$3*($B5-$O5/3600)^8+K5*coord!$B$7*O5</f>
        <v>20516.754839901761</v>
      </c>
      <c r="R5" s="5">
        <f>'sv04'!$AA$4+'sv04'!$Z$4*($B5-$O5/3600)+'sv04'!$Y$4*($B5-$O5/3600)^2+'sv04'!$X$4*($B5-$O5/3600)^3+'sv04'!$W$4*($B5-$O5/3600)^4+'sv04'!$V$4*($B5-$O5/3600)^5+'sv04'!$U$4*($B5-$O5/3600)^6+'sv04'!$T$4*($B5-$O5/3600)^7+'sv04'!$S$4*($B5-$O5/3600)^8-J5*coord!$B$7*O5</f>
        <v>-7433.3023709088557</v>
      </c>
      <c r="S5" s="5">
        <f>'sv04'!$AA$5+'sv04'!$Z$5*($B5-$O5/3600)+'sv04'!$Y$5*($B5-$O5/3600)^2+'sv04'!$X$5*($B5-$O5/3600)^3+'sv04'!$W$5*($B5-$O5/3600)^4+'sv04'!$V$5*($B5-$O5/3600)^5+'sv04'!$U$5*($B5-$O5/3600)^6+'sv04'!$T$5*($B5-$O5/3600)^7+'sv04'!$S$5*($B5-$O5/3600)^8</f>
        <v>15212.267857759887</v>
      </c>
      <c r="T5">
        <f>coord!$B$6*M5/10^6</f>
        <v>25960.485023649271</v>
      </c>
      <c r="U5">
        <f>SQRT(($Q5*1000+coord!$B$7*$O5*$R5*1000-coord!$B$2)^2+($R5*1000-coord!$B$7*$O5*$Q5*1000-coord!$C$2)^2+($S5*1000-coord!$D$2)^2)</f>
        <v>21078338.779769436</v>
      </c>
      <c r="V5" s="3">
        <f>$D5-(U5-$T5)-coord!$E$2</f>
        <v>-11.387745786458254</v>
      </c>
      <c r="W5" s="3"/>
      <c r="Y5">
        <f>-(Q5*1000-coord!$B$2)/$U5</f>
        <v>-0.76513983562029897</v>
      </c>
      <c r="Z5">
        <f>-(R5*1000-coord!$C$2)/$U5</f>
        <v>0.39651476672016361</v>
      </c>
      <c r="AA5">
        <f>-(S5*1000-coord!$D$2)/$U5</f>
        <v>-0.50728284117543954</v>
      </c>
      <c r="AB5">
        <v>1</v>
      </c>
      <c r="AD5">
        <v>1</v>
      </c>
      <c r="AE5">
        <v>1</v>
      </c>
      <c r="AF5">
        <v>1</v>
      </c>
      <c r="AG5">
        <v>1</v>
      </c>
      <c r="AH5">
        <v>1</v>
      </c>
      <c r="AI5">
        <v>1</v>
      </c>
      <c r="AJ5">
        <v>1</v>
      </c>
      <c r="AL5">
        <v>-3.1546321596660456</v>
      </c>
      <c r="AM5">
        <v>0.12817201020192664</v>
      </c>
      <c r="AN5">
        <v>-3.458614147387256</v>
      </c>
      <c r="AO5">
        <v>7</v>
      </c>
      <c r="AQ5">
        <v>1.7379329045548959</v>
      </c>
      <c r="AR5">
        <v>-1.3422703529482999E-3</v>
      </c>
      <c r="AS5">
        <v>1.6420227029884038</v>
      </c>
      <c r="AT5">
        <v>1.7374048606324031</v>
      </c>
      <c r="AV5">
        <v>-40.261108681559563</v>
      </c>
      <c r="AX5">
        <v>5.4495488531574807</v>
      </c>
      <c r="BA5">
        <f>SQRT(($Q5*1000+coord!$B$7*$O5*$R5*1000-coord!$B$2-AX$2)^2+($R5*1000-coord!$B$7*$O5*$Q5*1000-coord!$C$2-AX$3)^2+($S5*1000-coord!$D$2-AX$4)^2)</f>
        <v>21078317.123865481</v>
      </c>
      <c r="BB5" s="3">
        <f>$D5-(BA5-$T5)-(coord!$E$2+AX$5)</f>
        <v>4.818609314443151</v>
      </c>
      <c r="BC5" s="3"/>
      <c r="BD5" s="1"/>
      <c r="BE5" s="1"/>
      <c r="BF5" s="1"/>
      <c r="BX5">
        <v>0</v>
      </c>
      <c r="BY5">
        <v>0</v>
      </c>
      <c r="BZ5">
        <v>0</v>
      </c>
      <c r="CA5">
        <v>1</v>
      </c>
      <c r="CD5" s="1"/>
      <c r="CE5" s="1"/>
      <c r="CF5" s="1"/>
      <c r="CH5">
        <v>1.7379329045548959</v>
      </c>
      <c r="CI5">
        <v>-1.3422703529482999E-3</v>
      </c>
      <c r="CJ5">
        <v>1.6420227029884038</v>
      </c>
      <c r="CK5">
        <v>1.7374048606324031</v>
      </c>
      <c r="CM5">
        <v>0</v>
      </c>
      <c r="CN5">
        <v>0</v>
      </c>
      <c r="CO5">
        <v>0</v>
      </c>
      <c r="CP5">
        <v>1</v>
      </c>
      <c r="CR5" s="5">
        <v>-5.8193217428020194E-2</v>
      </c>
      <c r="CS5" s="5">
        <v>-0.35955871408926265</v>
      </c>
      <c r="CT5" s="5">
        <v>2.3630451159725059</v>
      </c>
      <c r="CU5" s="5">
        <v>1.7374048606324031</v>
      </c>
    </row>
    <row r="6" spans="1:108">
      <c r="A6">
        <v>0</v>
      </c>
      <c r="B6">
        <f t="shared" si="0"/>
        <v>0.25</v>
      </c>
      <c r="C6">
        <v>20</v>
      </c>
      <c r="D6">
        <v>22635209.239999998</v>
      </c>
      <c r="E6">
        <v>118948827.83448</v>
      </c>
      <c r="F6">
        <v>-2887.422</v>
      </c>
      <c r="G6">
        <v>22635208.943</v>
      </c>
      <c r="H6">
        <v>92687393.567460001</v>
      </c>
      <c r="J6" s="5">
        <f>'sv20'!$AA$3+'sv20'!$Z$3*($B6)+'sv20'!$Y$3*($B6)^2+'sv20'!$X$3*($B6)^3+'sv20'!$W$3*($B6)^4+'sv20'!$V$3*($B6)^5+'sv20'!$U$3*($B6)^6+'sv20'!$T$3*($B6)^7+'sv20'!$S$3*($B6)^8</f>
        <v>14170.825988992587</v>
      </c>
      <c r="K6" s="5">
        <f>'sv20'!$AA$4+'sv20'!$Z$4*($B6)+'sv20'!$Y$4*($B6)^2+'sv20'!$X$4*($B6)^3+'sv20'!$W$4*($B6)^4+'sv20'!$V$4*($B6)^5+'sv20'!$U$4*($B6)^6+'sv20'!$T$4*($B6)^7+'sv20'!$S$4*($B6)^8</f>
        <v>21122.075463045097</v>
      </c>
      <c r="L6" s="5">
        <f>'sv20'!$AA$5+'sv20'!$Z$5*($B6)+'sv20'!$Y$5*($B6)^2+'sv20'!$X$5*($B6)^3+'sv20'!$W$5*($B6)^4+'sv20'!$V$5*($B6)^5+'sv20'!$U$5*($B6)^6+'sv20'!$T$5*($B6)^7+'sv20'!$S$5*($B6)^8</f>
        <v>7599.749788201193</v>
      </c>
      <c r="M6" s="5">
        <f>'sv20'!$AA$6+'sv20'!$Z$6*$B6+'sv20'!$Y$6*$B6^2+'sv20'!$X$6*$B6^3+'sv20'!$W$6*$B6^4+'sv20'!$V$6*$B6^5+'sv20'!$U$6*$B6^6+'sv20'!$T$6*$B6^7+'sv20'!$S$6*$B6^8</f>
        <v>55.818327488189837</v>
      </c>
      <c r="O6">
        <f>SQRT(($J6*1000-coord!$B$2)^2+($K6*1000-coord!$C$2)^2+($L6*1000-coord!$D$2)^2)/coord!$B$6</f>
        <v>7.5558939756320873E-2</v>
      </c>
      <c r="P6">
        <v>20</v>
      </c>
      <c r="Q6" s="5">
        <f>'sv20'!$AA$3+'sv20'!$Z$3*($B6-$O6/3600)+'sv20'!$Y$3*($B6-$O6/3600)^2+'sv20'!$X$3*($B6-$O6/3600)^3+'sv20'!$W$3*($B6-$O6/3600)^4+'sv20'!$V$3*($B6-$O6/3600)^5+'sv20'!$U$3*($B6-$O6/3600)^6+'sv20'!$T$3*($B6-$O6/3600)^7+'sv20'!$S$3*($B6-$O6/3600)^8+K6*coord!$B$7*O6</f>
        <v>14170.938779412425</v>
      </c>
      <c r="R6" s="5">
        <f>'sv20'!$AA$4+'sv20'!$Z$4*($B6-$O6/3600)+'sv20'!$Y$4*($B6-$O6/3600)^2+'sv20'!$X$4*($B6-$O6/3600)^3+'sv20'!$W$4*($B6-$O6/3600)^4+'sv20'!$V$4*($B6-$O6/3600)^5+'sv20'!$U$4*($B6-$O6/3600)^6+'sv20'!$T$4*($B6-$O6/3600)^7+'sv20'!$S$4*($B6-$O6/3600)^8-J6*coord!$B$7*O6</f>
        <v>21121.918948397368</v>
      </c>
      <c r="S6" s="5">
        <f>'sv20'!$AA$5+'sv20'!$Z$5*($B6-$O6/3600)+'sv20'!$Y$5*($B6-$O6/3600)^2+'sv20'!$X$5*($B6-$O6/3600)^3+'sv20'!$W$5*($B6-$O6/3600)^4+'sv20'!$V$5*($B6-$O6/3600)^5+'sv20'!$U$5*($B6-$O6/3600)^6+'sv20'!$T$5*($B6-$O6/3600)^7+'sv20'!$S$5*($B6-$O6/3600)^8</f>
        <v>7599.9701353895525</v>
      </c>
      <c r="T6">
        <f>coord!$B$6*M6/10^6</f>
        <v>16733.913599133397</v>
      </c>
      <c r="U6">
        <f>SQRT(($Q6*1000+coord!$B$7*$O6*$R6*1000-coord!$B$2)^2+($R6*1000-coord!$B$7*$O6*$Q6*1000-coord!$C$2)^2+($S6*1000-coord!$D$2)^2)</f>
        <v>22651920.027885199</v>
      </c>
      <c r="V6" s="3">
        <f>$D6-(U6-$T6)-coord!$E$2</f>
        <v>23.125713933259249</v>
      </c>
      <c r="W6" s="3"/>
      <c r="Y6">
        <f>-(Q6*1000-coord!$B$2)/$U6</f>
        <v>-0.43184244852402848</v>
      </c>
      <c r="Z6">
        <f>-(R6*1000-coord!$C$2)/$U6</f>
        <v>-0.89163959215527078</v>
      </c>
      <c r="AA6">
        <f>-(S6*1000-coord!$D$2)/$U6</f>
        <v>-0.13598767156592065</v>
      </c>
      <c r="AB6">
        <v>1</v>
      </c>
      <c r="BA6">
        <f>SQRT(($Q6*1000+coord!$B$7*$O6*$R6*1000-coord!$B$2-AX$2)^2+($R6*1000-coord!$B$7*$O6*$Q6*1000-coord!$C$2-AX$3)^2+($S6*1000-coord!$D$2-AX$4)^2)</f>
        <v>22651932.765252367</v>
      </c>
      <c r="BB6" s="3">
        <f>$D6-(BA6-$T6)-(coord!$E$2+AX$5)</f>
        <v>4.9387979120328822</v>
      </c>
      <c r="BC6" s="3"/>
      <c r="BD6" s="1"/>
      <c r="BE6" s="1"/>
      <c r="BF6" s="1"/>
      <c r="CD6" s="1"/>
      <c r="CE6" s="1"/>
      <c r="CF6" s="1"/>
    </row>
    <row r="7" spans="1:108">
      <c r="A7">
        <v>0</v>
      </c>
      <c r="B7">
        <f t="shared" si="0"/>
        <v>0.25</v>
      </c>
      <c r="C7">
        <v>13</v>
      </c>
      <c r="D7">
        <v>20063887.837000001</v>
      </c>
      <c r="E7">
        <v>105436441.03349</v>
      </c>
      <c r="F7">
        <v>-361.83499999999998</v>
      </c>
      <c r="G7">
        <v>20063885.761999998</v>
      </c>
      <c r="H7">
        <v>82158257.888479993</v>
      </c>
      <c r="J7" s="5">
        <f>'sv13'!$AA$3+'sv13'!$Z$3*($B7)+'sv13'!$Y$3*($B7)^2+'sv13'!$X$3*($B7)^3+'sv13'!$W$3*($B7)^4+'sv13'!$V$3*($B7)^5+'sv13'!$U$3*($B7)^6+'sv13'!$T$3*($B7)^7+'sv13'!$S$3*($B7)^8</f>
        <v>15703.488675662749</v>
      </c>
      <c r="K7" s="5">
        <f>'sv13'!$AA$4+'sv13'!$Z$4*($B7)+'sv13'!$Y$4*($B7)^2+'sv13'!$X$4*($B7)^3+'sv13'!$W$4*($B7)^4+'sv13'!$V$4*($B7)^5+'sv13'!$U$4*($B7)^6+'sv13'!$T$4*($B7)^7+'sv13'!$S$4*($B7)^8</f>
        <v>3570.6169149658372</v>
      </c>
      <c r="L7" s="5">
        <f>'sv13'!$AA$5+'sv13'!$Z$5*($B7)+'sv13'!$Y$5*($B7)^2+'sv13'!$X$5*($B7)^3+'sv13'!$W$5*($B7)^4+'sv13'!$V$5*($B7)^5+'sv13'!$U$5*($B7)^6+'sv13'!$T$5*($B7)^7+'sv13'!$S$5*($B7)^8</f>
        <v>20987.928020137464</v>
      </c>
      <c r="M7" s="5">
        <f>'sv13'!$AA$6+'sv13'!$Z$6*$B7+'sv13'!$Y$6*$B7^2+'sv13'!$X$6*$B7^3+'sv13'!$W$6*$B7^4+'sv13'!$V$6*$B7^5+'sv13'!$U$6*$B7^6+'sv13'!$T$6*$B7^7+'sv13'!$S$6*$B7^8</f>
        <v>304.21961519236191</v>
      </c>
      <c r="O7">
        <f>SQRT(($J7*1000-coord!$B$2)^2+($K7*1000-coord!$C$2)^2+($L7*1000-coord!$D$2)^2)/coord!$B$6</f>
        <v>6.7230187874107616E-2</v>
      </c>
      <c r="P7">
        <v>13</v>
      </c>
      <c r="Q7" s="5">
        <f>'sv13'!$AA$3+'sv13'!$Z$3*($B7-$O7/3600)+'sv13'!$Y$3*($B7-$O7/3600)^2+'sv13'!$X$3*($B7-$O7/3600)^3+'sv13'!$W$3*($B7-$O7/3600)^4+'sv13'!$V$3*($B7-$O7/3600)^5+'sv13'!$U$3*($B7-$O7/3600)^6+'sv13'!$T$3*($B7-$O7/3600)^7+'sv13'!$S$3*($B7-$O7/3600)^8+K7*coord!$B$7*O7</f>
        <v>15703.630199473157</v>
      </c>
      <c r="R7" s="5">
        <f>'sv13'!$AA$4+'sv13'!$Z$4*($B7-$O7/3600)+'sv13'!$Y$4*($B7-$O7/3600)^2+'sv13'!$X$4*($B7-$O7/3600)^3+'sv13'!$W$4*($B7-$O7/3600)^4+'sv13'!$V$4*($B7-$O7/3600)^5+'sv13'!$U$4*($B7-$O7/3600)^6+'sv13'!$T$4*($B7-$O7/3600)^7+'sv13'!$S$4*($B7-$O7/3600)^8-J7*coord!$B$7*O7</f>
        <v>3570.4083995390915</v>
      </c>
      <c r="S7" s="5">
        <f>'sv13'!$AA$5+'sv13'!$Z$5*($B7-$O7/3600)+'sv13'!$Y$5*($B7-$O7/3600)^2+'sv13'!$X$5*($B7-$O7/3600)^3+'sv13'!$W$5*($B7-$O7/3600)^4+'sv13'!$V$5*($B7-$O7/3600)^5+'sv13'!$U$5*($B7-$O7/3600)^6+'sv13'!$T$5*($B7-$O7/3600)^7+'sv13'!$S$5*($B7-$O7/3600)^8</f>
        <v>20987.858273542457</v>
      </c>
      <c r="T7">
        <f>coord!$B$6*M7/10^6</f>
        <v>91202.74621033232</v>
      </c>
      <c r="U7">
        <f>SQRT(($Q7*1000+coord!$B$7*$O7*$R7*1000-coord!$B$2)^2+($R7*1000-coord!$B$7*$O7*$Q7*1000-coord!$C$2)^2+($S7*1000-coord!$D$2)^2)</f>
        <v>20155098.081316374</v>
      </c>
      <c r="V7" s="3">
        <f>$D7-(U7-$T7)-coord!$E$2</f>
        <v>-7.4981060400605202</v>
      </c>
      <c r="W7" s="3"/>
      <c r="Y7">
        <f>-(Q7*1000-coord!$B$2)/$U7</f>
        <v>-0.5613841214279105</v>
      </c>
      <c r="Z7">
        <f>-(R7*1000-coord!$C$2)/$U7</f>
        <v>-0.13127389287139038</v>
      </c>
      <c r="AA7">
        <f>-(S7*1000-coord!$D$2)/$U7</f>
        <v>-0.81707714508759555</v>
      </c>
      <c r="AB7">
        <v>1</v>
      </c>
      <c r="BA7">
        <f>SQRT(($Q7*1000+coord!$B$7*$O7*$R7*1000-coord!$B$2-AX$2)^2+($R7*1000-coord!$B$7*$O7*$Q7*1000-coord!$C$2-AX$3)^2+($S7*1000-coord!$D$2-AX$4)^2)</f>
        <v>20155084.342015717</v>
      </c>
      <c r="BB7" s="3">
        <f>$D7-(BA7-$T7)-(coord!$E$2+AX$5)</f>
        <v>0.79164576384572172</v>
      </c>
      <c r="BC7" s="3"/>
      <c r="BD7" s="1"/>
      <c r="BE7" s="1"/>
      <c r="BF7" s="1"/>
      <c r="CD7" s="1"/>
      <c r="CE7" s="1"/>
      <c r="CF7" s="1"/>
    </row>
    <row r="8" spans="1:108">
      <c r="A8">
        <v>0</v>
      </c>
      <c r="B8">
        <f t="shared" si="0"/>
        <v>0.25</v>
      </c>
      <c r="C8">
        <v>7</v>
      </c>
      <c r="D8">
        <v>22241401.634</v>
      </c>
      <c r="E8">
        <v>116879357.14647999</v>
      </c>
      <c r="F8">
        <v>3145.8589999999999</v>
      </c>
      <c r="G8">
        <v>22241401.693999998</v>
      </c>
      <c r="H8">
        <v>91074823.434469998</v>
      </c>
      <c r="J8" s="5">
        <f>'sv07'!$AA$3+'sv07'!$Z$3*($B8)+'sv07'!$Y$3*($B8)^2+'sv07'!$X$3*($B8)^3+'sv07'!$W$3*($B8)^4+'sv07'!$V$3*($B8)^5+'sv07'!$U$3*($B8)^6+'sv07'!$T$3*($B8)^7+'sv07'!$S$3*($B8)^8</f>
        <v>25818.579175994972</v>
      </c>
      <c r="K8" s="5">
        <f>'sv07'!$AA$4+'sv07'!$Z$4*($B8)+'sv07'!$Y$4*($B8)^2+'sv07'!$X$4*($B8)^3+'sv07'!$W$4*($B8)^4+'sv07'!$V$4*($B8)^5+'sv07'!$U$4*($B8)^6+'sv07'!$T$4*($B8)^7+'sv07'!$S$4*($B8)^8</f>
        <v>6309.3533620518174</v>
      </c>
      <c r="L8" s="5">
        <f>'sv07'!$AA$5+'sv07'!$Z$5*($B8)+'sv07'!$Y$5*($B8)^2+'sv07'!$X$5*($B8)^3+'sv07'!$W$5*($B8)^4+'sv07'!$V$5*($B8)^5+'sv07'!$U$5*($B8)^6+'sv07'!$T$5*($B8)^7+'sv07'!$S$5*($B8)^8</f>
        <v>1981.5477578144387</v>
      </c>
      <c r="M8" s="5">
        <f>'sv07'!$AA$6+'sv07'!$Z$6*$B8+'sv07'!$Y$6*$B8^2+'sv07'!$X$6*$B8^3+'sv07'!$W$6*$B8^4+'sv07'!$V$6*$B8^5+'sv07'!$U$6*$B8^6+'sv07'!$T$6*$B8^7+'sv07'!$S$6*$B8^8</f>
        <v>-0.63755552724674713</v>
      </c>
      <c r="O8">
        <f>SQRT(($J8*1000-coord!$B$2)^2+($K8*1000-coord!$C$2)^2+($L8*1000-coord!$D$2)^2)/coord!$B$6</f>
        <v>7.418855607920366E-2</v>
      </c>
      <c r="P8">
        <v>7</v>
      </c>
      <c r="Q8" s="5">
        <f>'sv07'!$AA$3+'sv07'!$Z$3*($B8-$O8/3600)+'sv07'!$Y$3*($B8-$O8/3600)^2+'sv07'!$X$3*($B8-$O8/3600)^3+'sv07'!$W$3*($B8-$O8/3600)^4+'sv07'!$V$3*($B8-$O8/3600)^5+'sv07'!$U$3*($B8-$O8/3600)^6+'sv07'!$T$3*($B8-$O8/3600)^7+'sv07'!$S$3*($B8-$O8/3600)^8+K8*coord!$B$7*O8</f>
        <v>25818.63487145066</v>
      </c>
      <c r="R8" s="5">
        <f>'sv07'!$AA$4+'sv07'!$Z$4*($B8-$O8/3600)+'sv07'!$Y$4*($B8-$O8/3600)^2+'sv07'!$X$4*($B8-$O8/3600)^3+'sv07'!$W$4*($B8-$O8/3600)^4+'sv07'!$V$4*($B8-$O8/3600)^5+'sv07'!$U$4*($B8-$O8/3600)^6+'sv07'!$T$4*($B8-$O8/3600)^7+'sv07'!$S$4*($B8-$O8/3600)^8-J8*coord!$B$7*O8</f>
        <v>6309.2002565112225</v>
      </c>
      <c r="S8" s="5">
        <f>'sv07'!$AA$5+'sv07'!$Z$5*($B8-$O8/3600)+'sv07'!$Y$5*($B8-$O8/3600)^2+'sv07'!$X$5*($B8-$O8/3600)^3+'sv07'!$W$5*($B8-$O8/3600)^4+'sv07'!$V$5*($B8-$O8/3600)^5+'sv07'!$U$5*($B8-$O8/3600)^6+'sv07'!$T$5*($B8-$O8/3600)^7+'sv07'!$S$5*($B8-$O8/3600)^8</f>
        <v>1981.3121863479812</v>
      </c>
      <c r="T8">
        <f>coord!$B$6*M8/10^6</f>
        <v>-191.13433862478828</v>
      </c>
      <c r="U8">
        <f>SQRT(($Q8*1000+coord!$B$7*$O8*$R8*1000-coord!$B$2)^2+($R8*1000-coord!$B$7*$O8*$Q8*1000-coord!$C$2)^2+($S8*1000-coord!$D$2)^2)</f>
        <v>22241212.133087076</v>
      </c>
      <c r="V8" s="3">
        <f>$D8-(U8-$T8)-coord!$E$2</f>
        <v>-1.6334257014095783</v>
      </c>
      <c r="W8" s="3"/>
      <c r="X8" s="1" t="s">
        <v>128</v>
      </c>
      <c r="Y8">
        <f>-(Q8*1000-coord!$B$2)/$U8</f>
        <v>-0.96351568306705471</v>
      </c>
      <c r="Z8">
        <f>-(R8*1000-coord!$C$2)/$U8</f>
        <v>-0.24210146511308134</v>
      </c>
      <c r="AA8">
        <f>-(S8*1000-coord!$D$2)/$U8</f>
        <v>0.11412489898317904</v>
      </c>
      <c r="AB8">
        <v>1</v>
      </c>
      <c r="BA8">
        <f>SQRT(($Q8*1000+coord!$B$7*$O8*$R8*1000-coord!$B$2-AX$2)^2+($R8*1000-coord!$B$7*$O8*$Q8*1000-coord!$C$2-AX$3)^2+($S8*1000-coord!$D$2-AX$4)^2)</f>
        <v>22241210.950492661</v>
      </c>
      <c r="BB8" s="3">
        <f>$D8-(BA8-$T8)-(coord!$E$2+AX$5)</f>
        <v>-5.9003801397666535</v>
      </c>
      <c r="BC8" s="3"/>
      <c r="BD8" s="1" t="s">
        <v>128</v>
      </c>
      <c r="BE8" s="1"/>
      <c r="BF8" s="1"/>
      <c r="CD8" s="1"/>
      <c r="CE8" s="1"/>
      <c r="CF8" s="1"/>
    </row>
    <row r="9" spans="1:108">
      <c r="V9" s="3"/>
      <c r="W9" s="3">
        <f>AVERAGE($V2:$V8)</f>
        <v>-5.7515869545085092</v>
      </c>
      <c r="X9" s="1">
        <f>SQRT(DEVSQ($V2:$V8)/6)</f>
        <v>15.2692882631284</v>
      </c>
      <c r="BC9" s="3">
        <f>AVERAGE($BB2:$BB8)</f>
        <v>6.1655288701802284E-5</v>
      </c>
      <c r="BD9" s="1">
        <f>SQRT(DEVSQ($BB2:$BB8)/6)</f>
        <v>4.9998731722610215</v>
      </c>
      <c r="BE9" s="1"/>
      <c r="BF9" s="1"/>
      <c r="CD9" s="1"/>
      <c r="CE9" s="1"/>
      <c r="CF9" s="1"/>
    </row>
    <row r="10" spans="1:108">
      <c r="A10">
        <v>2</v>
      </c>
      <c r="B10">
        <f>(60-45)/60+30*A10/3600</f>
        <v>0.26666666666666666</v>
      </c>
      <c r="C10">
        <v>2</v>
      </c>
      <c r="D10">
        <v>22903042.190000001</v>
      </c>
      <c r="E10">
        <v>120356301.01848</v>
      </c>
      <c r="F10">
        <v>2582.2489999999998</v>
      </c>
      <c r="G10">
        <v>22903039.304000001</v>
      </c>
      <c r="H10">
        <v>93784119.715470001</v>
      </c>
      <c r="J10" s="5">
        <f>'sv02'!$AA$3+'sv02'!$Z$3*($B10)+'sv02'!$Y$3*($B10)^2+'sv02'!$X$3*($B10)^3+'sv02'!$W$3*($B10)^4+'sv02'!$V$3*($B10)^5+'sv02'!$U$3*($B10)^6+'sv02'!$T$3*($B10)^7+'sv02'!$S$3*($B10)^8</f>
        <v>5735.924261993885</v>
      </c>
      <c r="K10" s="5">
        <f>'sv02'!$AA$4+'sv02'!$Z$4*($B10)+'sv02'!$Y$4*($B10)^2+'sv02'!$X$4*($B10)^3+'sv02'!$W$4*($B10)^4+'sv02'!$V$4*($B10)^5+'sv02'!$U$4*($B10)^6+'sv02'!$T$4*($B10)^7+'sv02'!$S$4*($B10)^8</f>
        <v>-14774.641190552473</v>
      </c>
      <c r="L10" s="5">
        <f>'sv02'!$AA$5+'sv02'!$Z$5*($B10)+'sv02'!$Y$5*($B10)^2+'sv02'!$X$5*($B10)^3+'sv02'!$W$5*($B10)^4+'sv02'!$V$5*($B10)^5+'sv02'!$U$5*($B10)^6+'sv02'!$T$5*($B10)^7+'sv02'!$S$5*($B10)^8</f>
        <v>21247.131007940668</v>
      </c>
      <c r="M10" s="5">
        <f>'sv02'!$AA$6+'sv02'!$Z$6*$B10+'sv02'!$Y$6*$B10^2+'sv02'!$X$6*$B10^3+'sv02'!$W$6*$B10^4+'sv02'!$V$6*$B10^5+'sv02'!$U$6*$B10^6+'sv02'!$T$6*$B10^7+'sv02'!$S$6*$B10^8</f>
        <v>257.58997063193192</v>
      </c>
      <c r="O10">
        <f>SQRT(($J10*1000-coord!$B$2)^2+($K10*1000-coord!$C$2)^2+($L10*1000-coord!$D$2)^2)/coord!$B$6</f>
        <v>7.6653759036806504E-2</v>
      </c>
      <c r="Q10" s="5">
        <f>'sv02'!$AA$3+'sv02'!$Z$3*($B10-$O10/3600)+'sv02'!$Y$3*($B10-$O10/3600)^2+'sv02'!$X$3*($B10-$O10/3600)^3+'sv02'!$W$3*($B10-$O10/3600)^4+'sv02'!$V$3*($B10-$O10/3600)^5+'sv02'!$U$3*($B10-$O10/3600)^6+'sv02'!$T$3*($B10-$O10/3600)^7+'sv02'!$S$3*($B10-$O10/3600)^8+K10*coord!$B$7*O10</f>
        <v>5735.6370988746621</v>
      </c>
      <c r="R10" s="5">
        <f>'sv02'!$AA$4+'sv02'!$Z$4*($B10-$O10/3600)+'sv02'!$Y$4*($B10-$O10/3600)^2+'sv02'!$X$4*($B10-$O10/3600)^3+'sv02'!$W$4*($B10-$O10/3600)^4+'sv02'!$V$4*($B10-$O10/3600)^5+'sv02'!$U$4*($B10-$O10/3600)^6+'sv02'!$T$4*($B10-$O10/3600)^7+'sv02'!$S$4*($B10-$O10/3600)^8-J10*coord!$B$7*O10</f>
        <v>-14774.712416252982</v>
      </c>
      <c r="S10" s="5">
        <f>'sv02'!$AA$5+'sv02'!$Z$5*($B10-$O10/3600)+'sv02'!$Y$5*($B10-$O10/3600)^2+'sv02'!$X$5*($B10-$O10/3600)^3+'sv02'!$W$5*($B10-$O10/3600)^4+'sv02'!$V$5*($B10-$O10/3600)^5+'sv02'!$U$5*($B10-$O10/3600)^6+'sv02'!$T$5*($B10-$O10/3600)^7+'sv02'!$S$5*($B10-$O10/3600)^8</f>
        <v>21247.162470083018</v>
      </c>
      <c r="T10">
        <f>coord!$B$6*M10/10^6</f>
        <v>77223.53045189468</v>
      </c>
      <c r="U10">
        <f>SQRT(($Q10*1000+coord!$B$7*$O10*$R10*1000-coord!$B$2)^2+($R10*1000-coord!$B$7*$O10*$Q10*1000-coord!$C$2)^2+($S10*1000-coord!$D$2)^2)</f>
        <v>22980290.628629819</v>
      </c>
      <c r="V10" s="3">
        <f>$D10-(U10-$T10)-coord!$E$2</f>
        <v>-24.908177923411131</v>
      </c>
      <c r="W10" s="3"/>
      <c r="Y10">
        <f>-(Q10*1000-coord!$B$2)/$U10</f>
        <v>-5.8604956300979602E-2</v>
      </c>
      <c r="Z10">
        <f>-(R10*1000-coord!$C$2)/$U10</f>
        <v>0.68316292788282451</v>
      </c>
      <c r="AA10">
        <f>-(S10*1000-coord!$D$2)/$U10</f>
        <v>-0.72790960158454643</v>
      </c>
      <c r="AB10">
        <v>1</v>
      </c>
      <c r="AD10">
        <f t="array" ref="AD10:AJ13">TRANSPOSE(Y10:AB16)</f>
        <v>-5.8604956300979602E-2</v>
      </c>
      <c r="AE10">
        <v>-0.25449357358547414</v>
      </c>
      <c r="AF10">
        <v>-0.1236925294594588</v>
      </c>
      <c r="AG10">
        <v>-0.77024459064554818</v>
      </c>
      <c r="AH10">
        <v>-0.43133274434805507</v>
      </c>
      <c r="AI10">
        <v>-0.55577714960640312</v>
      </c>
      <c r="AJ10">
        <v>-0.96425268113261453</v>
      </c>
      <c r="AL10">
        <f t="array" ref="AL10:AO13">MMULT(AD10:AJ13,Y10:AB16)</f>
        <v>2.1014975006050305</v>
      </c>
      <c r="AM10">
        <v>0.38089435609348765</v>
      </c>
      <c r="AN10">
        <v>1.1165952925919755</v>
      </c>
      <c r="AO10">
        <v>-3.1583982250785332</v>
      </c>
      <c r="AQ10">
        <f t="array" ref="AQ10:AT13">MINVERSE(AL10:AO13)</f>
        <v>2.4483606741994115</v>
      </c>
      <c r="AR10">
        <v>-0.17358043872621134</v>
      </c>
      <c r="AS10">
        <v>1.3089922800931748</v>
      </c>
      <c r="AT10">
        <v>1.754282472035068</v>
      </c>
      <c r="AV10">
        <f t="array" ref="AV10:AV13">MMULT(AD10:AJ13,V10:V16)</f>
        <v>6.2435908073698343</v>
      </c>
      <c r="AX10">
        <f t="array" ref="AX10:AX13">MMULT(AQ10:AT13,AV10:AV13)</f>
        <v>8.5789333552204639</v>
      </c>
      <c r="BA10">
        <f>SQRT(($Q10*1000+coord!$B$7*$O10*$R10*1000-coord!$B$2-AX$10)^2+($R10*1000-coord!$B$7*$O10*$Q10*1000-coord!$C$2-AX$11)^2+($S10*1000-coord!$D$2-AX$12)^2)</f>
        <v>22980265.259546954</v>
      </c>
      <c r="BB10" s="3">
        <f>$D10-(BA10-$T10)-AX$13</f>
        <v>-6.1531308317486904</v>
      </c>
      <c r="BD10" s="1">
        <f>coord!$B$2+$AX10</f>
        <v>4388886.7497333558</v>
      </c>
      <c r="BE10" s="1">
        <f>coord!$C$2+$AX11</f>
        <v>924549.88945198234</v>
      </c>
      <c r="BF10" s="1">
        <f>coord!$D$2+$AX12</f>
        <v>4519603.3611839181</v>
      </c>
      <c r="BG10" s="1">
        <f>coord!$E$2+$AX13</f>
        <v>6.6140357727114818</v>
      </c>
      <c r="BH10" s="8">
        <f>lat($BD10,$BE10,$BF10)</f>
        <v>45.411239624385388</v>
      </c>
      <c r="BI10" s="8">
        <f>lon($BD10,$BE10,$BF10)</f>
        <v>11.895829893684434</v>
      </c>
      <c r="BJ10" s="6">
        <f>h($BD10,$BE10,$BF10)</f>
        <v>75.817648448050022</v>
      </c>
      <c r="BL10">
        <f>grado($BH10)</f>
        <v>45</v>
      </c>
      <c r="BM10">
        <f>MINUTOprimo($BH10)</f>
        <v>24</v>
      </c>
      <c r="BN10">
        <f>MINUTOsecondo($BH10)</f>
        <v>40.462647787396691</v>
      </c>
      <c r="BO10">
        <f>grado($BI10)</f>
        <v>11</v>
      </c>
      <c r="BP10">
        <f>MINUTOprimo($BI10)</f>
        <v>53</v>
      </c>
      <c r="BQ10">
        <f>MINUTOsecondo($BI10)</f>
        <v>44.987617263962392</v>
      </c>
      <c r="BS10">
        <f>-SIN(RADIANS(BH10))*COS(RADIANS(BI10))</f>
        <v>-0.69686933660865369</v>
      </c>
      <c r="BT10">
        <f>-SIN(RADIANS(BI10))</f>
        <v>-0.20613296692605287</v>
      </c>
      <c r="BU10">
        <f>COS(RADIANS(BH10))*COS(RADIANS(BI10))</f>
        <v>0.68693691678412327</v>
      </c>
      <c r="BW10" t="s">
        <v>93</v>
      </c>
      <c r="BX10">
        <f t="array" ref="BX10:BZ12">MINVERSE(BS10:BU12)</f>
        <v>-0.6968693366086538</v>
      </c>
      <c r="BY10">
        <v>-0.14680043137661433</v>
      </c>
      <c r="BZ10">
        <v>0.70201336243853274</v>
      </c>
      <c r="CA10">
        <v>0</v>
      </c>
      <c r="CB10" s="1">
        <f t="array" ref="CB10:CB12">MMULT(BX10:BZ12,AX10:AX12)</f>
        <v>7.5963334884364784</v>
      </c>
      <c r="CD10" s="1">
        <f t="array" ref="CD10:CF10">TRANSPOSE(CB10:CB12)</f>
        <v>7.5963334884364784</v>
      </c>
      <c r="CE10" s="1">
        <v>-21.65567599731251</v>
      </c>
      <c r="CF10" s="1">
        <v>13.696507291959552</v>
      </c>
      <c r="CH10">
        <f t="array" ref="CH10:CK13">MMULT(BX10:CA13,AQ10:AT13)</f>
        <v>-0.76177572357021817</v>
      </c>
      <c r="CI10">
        <v>0.193450371630429</v>
      </c>
      <c r="CJ10">
        <v>0.59582235955365592</v>
      </c>
      <c r="CK10">
        <v>-5.224922068045168E-2</v>
      </c>
      <c r="CM10">
        <f t="array" ref="CM10:CP13">TRANSPOSE(BX10:CA13)</f>
        <v>-0.6968693366086538</v>
      </c>
      <c r="CN10">
        <v>-0.20613296692605293</v>
      </c>
      <c r="CO10">
        <v>0.68693691678412339</v>
      </c>
      <c r="CP10">
        <v>0</v>
      </c>
      <c r="CR10" s="5">
        <f t="array" ref="CR10:CU13">MMULT(CH10:CK13,CM10:CP13)</f>
        <v>0.92073480316996426</v>
      </c>
      <c r="CS10" s="5">
        <v>0.34632291963955059</v>
      </c>
      <c r="CT10" s="5">
        <v>-7.0974932285076342E-2</v>
      </c>
      <c r="CU10" s="5">
        <v>-5.224922068045168E-2</v>
      </c>
      <c r="CW10" s="3">
        <f>SQRT(CR10+CS11)</f>
        <v>1.2486037143443862</v>
      </c>
      <c r="CX10" s="3">
        <f>CT12</f>
        <v>3.5650959620356959</v>
      </c>
      <c r="CY10" s="3">
        <f>CU13</f>
        <v>1.7595618299647511</v>
      </c>
      <c r="CZ10" s="3">
        <f>BD17</f>
        <v>5.0168334676949558</v>
      </c>
      <c r="DA10">
        <v>6</v>
      </c>
      <c r="DB10" s="6">
        <f>CY10*DA10*CZ10</f>
        <v>52.96457206227447</v>
      </c>
      <c r="DC10">
        <v>5.33</v>
      </c>
      <c r="DD10" s="6">
        <f>CZ10*DC10*SQRT(0.5*(CR10+CS11)+SQRT((0.5*(CR10-CS11))^2+CS10^2))</f>
        <v>28.718984435144304</v>
      </c>
    </row>
    <row r="11" spans="1:108">
      <c r="A11">
        <v>2</v>
      </c>
      <c r="B11">
        <f t="shared" ref="B11:B16" si="1">(60-45)/60+30*A11/3600</f>
        <v>0.26666666666666666</v>
      </c>
      <c r="C11">
        <v>23</v>
      </c>
      <c r="D11">
        <v>20873099.670000002</v>
      </c>
      <c r="E11">
        <v>109688876.54448999</v>
      </c>
      <c r="F11">
        <v>-1733.3389999999999</v>
      </c>
      <c r="G11">
        <v>20873096.27</v>
      </c>
      <c r="H11">
        <v>85471838.549480006</v>
      </c>
      <c r="J11" s="5">
        <f>'sv23'!$AA$3+'sv23'!$Z$3*($B11)+'sv23'!$Y$3*($B11)^2+'sv23'!$X$3*($B11)^3+'sv23'!$W$3*($B11)^4+'sv23'!$V$3*($B11)^5+'sv23'!$U$3*($B11)^6+'sv23'!$T$3*($B11)^7+'sv23'!$S$3*($B11)^8</f>
        <v>9728.9934732244856</v>
      </c>
      <c r="K11" s="5">
        <f>'sv23'!$AA$4+'sv23'!$Z$4*($B11)+'sv23'!$Y$4*($B11)^2+'sv23'!$X$4*($B11)^3+'sv23'!$W$4*($B11)^4+'sv23'!$V$4*($B11)^5+'sv23'!$U$4*($B11)^6+'sv23'!$T$4*($B11)^7+'sv23'!$S$4*($B11)^8</f>
        <v>11644.719882583255</v>
      </c>
      <c r="L11" s="5">
        <f>'sv23'!$AA$5+'sv23'!$Z$5*($B11)+'sv23'!$Y$5*($B11)^2+'sv23'!$X$5*($B11)^3+'sv23'!$W$5*($B11)^4+'sv23'!$V$5*($B11)^5+'sv23'!$U$5*($B11)^6+'sv23'!$T$5*($B11)^7+'sv23'!$S$5*($B11)^8</f>
        <v>21750.181893967827</v>
      </c>
      <c r="M11" s="5">
        <f>'sv23'!$AA$6+'sv23'!$Z$6*$B11+'sv23'!$Y$6*$B11^2+'sv23'!$X$6*$B11^3+'sv23'!$W$6*$B11^4+'sv23'!$V$6*$B11^5+'sv23'!$U$6*$B11^6+'sv23'!$T$6*$B11^7+'sv23'!$S$6*$B11^8</f>
        <v>370.05758675313905</v>
      </c>
      <c r="O11">
        <f>SQRT(($J11*1000-coord!$B$2)^2+($K11*1000-coord!$C$2)^2+($L11*1000-coord!$D$2)^2)/coord!$B$6</f>
        <v>6.9995371165681053E-2</v>
      </c>
      <c r="Q11" s="5">
        <f>'sv23'!$AA$3+'sv23'!$Z$3*($B11-$O11/3600)+'sv23'!$Y$3*($B11-$O11/3600)^2+'sv23'!$X$3*($B11-$O11/3600)^3+'sv23'!$W$3*($B11-$O11/3600)^4+'sv23'!$V$3*($B11-$O11/3600)^5+'sv23'!$U$3*($B11-$O11/3600)^6+'sv23'!$T$3*($B11-$O11/3600)^7+'sv23'!$S$3*($B11-$O11/3600)^8+K11*coord!$B$7*O11</f>
        <v>9729.1817017943758</v>
      </c>
      <c r="R11" s="5">
        <f>'sv23'!$AA$4+'sv23'!$Z$4*($B11-$O11/3600)+'sv23'!$Y$4*($B11-$O11/3600)^2+'sv23'!$X$4*($B11-$O11/3600)^3+'sv23'!$W$4*($B11-$O11/3600)^4+'sv23'!$V$4*($B11-$O11/3600)^5+'sv23'!$U$4*($B11-$O11/3600)^6+'sv23'!$T$4*($B11-$O11/3600)^7+'sv23'!$S$4*($B11-$O11/3600)^8-J11*coord!$B$7*O11</f>
        <v>11644.525392180552</v>
      </c>
      <c r="S11" s="5">
        <f>'sv23'!$AA$5+'sv23'!$Z$5*($B11-$O11/3600)+'sv23'!$Y$5*($B11-$O11/3600)^2+'sv23'!$X$5*($B11-$O11/3600)^3+'sv23'!$W$5*($B11-$O11/3600)^4+'sv23'!$V$5*($B11-$O11/3600)^5+'sv23'!$U$5*($B11-$O11/3600)^6+'sv23'!$T$5*($B11-$O11/3600)^7+'sv23'!$S$5*($B11-$O11/3600)^8</f>
        <v>21750.203970020535</v>
      </c>
      <c r="T11">
        <f>coord!$B$6*M11/10^6</f>
        <v>110940.47353427179</v>
      </c>
      <c r="U11">
        <f>SQRT(($Q11*1000+coord!$B$7*$O11*$R11*1000-coord!$B$2)^2+($R11*1000-coord!$B$7*$O11*$Q11*1000-coord!$C$2)^2+($S11*1000-coord!$D$2)^2)</f>
        <v>20984040.798188496</v>
      </c>
      <c r="V11" s="3">
        <f>$D11-(U11-$T11)-coord!$E$2</f>
        <v>-0.65465422347187996</v>
      </c>
      <c r="W11" s="3"/>
      <c r="Y11">
        <f>-(Q11*1000-coord!$B$2)/$U11</f>
        <v>-0.25449357358547414</v>
      </c>
      <c r="Z11">
        <f>-(R11*1000-coord!$C$2)/$U11</f>
        <v>-0.5108622920665491</v>
      </c>
      <c r="AA11">
        <f>-(S11*1000-coord!$D$2)/$U11</f>
        <v>-0.82112953655751653</v>
      </c>
      <c r="AB11">
        <v>1</v>
      </c>
      <c r="AD11">
        <v>0.68316292788282451</v>
      </c>
      <c r="AE11">
        <v>-0.5108622920665491</v>
      </c>
      <c r="AF11">
        <v>0.81426689793275397</v>
      </c>
      <c r="AG11">
        <v>0.39474136076236105</v>
      </c>
      <c r="AH11">
        <v>-0.89305850673858245</v>
      </c>
      <c r="AI11">
        <v>-0.13708752211196629</v>
      </c>
      <c r="AJ11">
        <v>-0.24297631225249758</v>
      </c>
      <c r="AL11">
        <v>0.38089435609348765</v>
      </c>
      <c r="AM11">
        <v>2.4219271639472408</v>
      </c>
      <c r="AN11">
        <v>-0.53625782812644973</v>
      </c>
      <c r="AO11">
        <v>0.10818655340834418</v>
      </c>
      <c r="AQ11">
        <v>-0.17358043872621115</v>
      </c>
      <c r="AR11">
        <v>0.48481954845948527</v>
      </c>
      <c r="AS11">
        <v>0.20463884733148727</v>
      </c>
      <c r="AT11">
        <v>1.5319456812808106E-2</v>
      </c>
      <c r="AV11">
        <v>-53.32987996976474</v>
      </c>
      <c r="AX11">
        <v>-20.32374801763472</v>
      </c>
      <c r="BA11">
        <f>SQRT(($Q11*1000+coord!$B$7*$O11*$R11*1000-coord!$B$2-AX$10)^2+($R11*1000-coord!$B$7*$O11*$Q11*1000-coord!$C$2-AX$11)^2+($S11*1000-coord!$D$2-AX$12)^2)</f>
        <v>20984036.609199792</v>
      </c>
      <c r="BB11" s="3">
        <f t="shared" ref="BB11:BB16" si="2">$D11-(BA11-$T11)-AX$13</f>
        <v>-3.0797012919490001</v>
      </c>
      <c r="BD11" s="1"/>
      <c r="BE11" s="1"/>
      <c r="BF11" s="1"/>
      <c r="BS11">
        <f>-SIN(RADIANS(BH10))*SIN(RADIANS(BI10))</f>
        <v>-0.14680043137661433</v>
      </c>
      <c r="BT11">
        <f>COS(RADIANS(BI10))</f>
        <v>0.97852399048069472</v>
      </c>
      <c r="BU11">
        <f>COS(RADIANS(BH10))*SIN(RADIANS(BI10))</f>
        <v>0.14470809722118924</v>
      </c>
      <c r="BW11" t="s">
        <v>94</v>
      </c>
      <c r="BX11">
        <v>-0.20613296692605293</v>
      </c>
      <c r="BY11">
        <v>0.97852399048069483</v>
      </c>
      <c r="BZ11">
        <v>0</v>
      </c>
      <c r="CA11">
        <v>0</v>
      </c>
      <c r="CB11" s="1">
        <v>-21.65567599731251</v>
      </c>
      <c r="CD11" s="1"/>
      <c r="CE11" s="1"/>
      <c r="CF11" s="1"/>
      <c r="CH11">
        <v>-0.67454047344955781</v>
      </c>
      <c r="CI11">
        <v>0.51018821005658399</v>
      </c>
      <c r="CJ11">
        <v>-6.9582440880728402E-2</v>
      </c>
      <c r="CK11">
        <v>-0.34662499477449338</v>
      </c>
      <c r="CM11">
        <v>-0.14680043137661433</v>
      </c>
      <c r="CN11">
        <v>0.97852399048069483</v>
      </c>
      <c r="CO11">
        <v>0.14470809722118927</v>
      </c>
      <c r="CP11">
        <v>0</v>
      </c>
      <c r="CR11" s="5">
        <v>0.34632291963955075</v>
      </c>
      <c r="CS11" s="5">
        <v>0.63827643230463327</v>
      </c>
      <c r="CT11" s="5">
        <v>-0.43909248157765235</v>
      </c>
      <c r="CU11" s="5">
        <v>-0.34662499477449338</v>
      </c>
    </row>
    <row r="12" spans="1:108">
      <c r="A12">
        <v>2</v>
      </c>
      <c r="B12">
        <f t="shared" si="1"/>
        <v>0.26666666666666666</v>
      </c>
      <c r="C12">
        <v>10</v>
      </c>
      <c r="D12">
        <v>23312310.796</v>
      </c>
      <c r="E12">
        <v>122507016.18248001</v>
      </c>
      <c r="F12">
        <v>3123.1990000000001</v>
      </c>
      <c r="G12">
        <v>23312310.861000001</v>
      </c>
      <c r="H12">
        <v>95460015.389449999</v>
      </c>
      <c r="J12" s="5">
        <f>'sv10'!$AA$3+'sv10'!$Z$3*($B12)+'sv10'!$Y$3*($B12)^2+'sv10'!$X$3*($B12)^3+'sv10'!$W$3*($B12)^4+'sv10'!$V$3*($B12)^5+'sv10'!$U$3*($B12)^6+'sv10'!$T$3*($B12)^7+'sv10'!$S$3*($B12)^8</f>
        <v>7271.0174002585991</v>
      </c>
      <c r="K12" s="5">
        <f>'sv10'!$AA$4+'sv10'!$Z$4*($B12)+'sv10'!$Y$4*($B12)^2+'sv10'!$X$4*($B12)^3+'sv10'!$W$4*($B12)^4+'sv10'!$V$4*($B12)^5+'sv10'!$U$4*($B12)^6+'sv10'!$T$4*($B12)^7+'sv10'!$S$4*($B12)^8</f>
        <v>-18047.18168060491</v>
      </c>
      <c r="L12" s="5">
        <f>'sv10'!$AA$5+'sv10'!$Z$5*($B12)+'sv10'!$Y$5*($B12)^2+'sv10'!$X$5*($B12)^3+'sv10'!$W$5*($B12)^4+'sv10'!$V$5*($B12)^5+'sv10'!$U$5*($B12)^6+'sv10'!$T$5*($B12)^7+'sv10'!$S$5*($B12)^8</f>
        <v>17734.180633219534</v>
      </c>
      <c r="M12" s="5">
        <f>'sv10'!$AA$6+'sv10'!$Z$6*$B12+'sv10'!$Y$6*$B12^2+'sv10'!$X$6*$B12^3+'sv10'!$W$6*$B12^4+'sv10'!$V$6*$B12^5+'sv10'!$U$6*$B12^6+'sv10'!$T$6*$B12^7+'sv10'!$S$6*$B12^8</f>
        <v>-43.000552232956977</v>
      </c>
      <c r="O12">
        <f>SQRT(($J12*1000-coord!$B$2)^2+($K12*1000-coord!$C$2)^2+($L12*1000-coord!$D$2)^2)/coord!$B$6</f>
        <v>7.7718254364390574E-2</v>
      </c>
      <c r="Q12" s="5">
        <f>'sv10'!$AA$3+'sv10'!$Z$3*($B12-$O12/3600)+'sv10'!$Y$3*($B12-$O12/3600)^2+'sv10'!$X$3*($B12-$O12/3600)^3+'sv10'!$W$3*($B12-$O12/3600)^4+'sv10'!$V$3*($B12-$O12/3600)^5+'sv10'!$U$3*($B12-$O12/3600)^6+'sv10'!$T$3*($B12-$O12/3600)^7+'sv10'!$S$3*($B12-$O12/3600)^8+K12*coord!$B$7*O12</f>
        <v>7270.8441590021521</v>
      </c>
      <c r="R12" s="5">
        <f>'sv10'!$AA$4+'sv10'!$Z$4*($B12-$O12/3600)+'sv10'!$Y$4*($B12-$O12/3600)^2+'sv10'!$X$4*($B12-$O12/3600)^3+'sv10'!$W$4*($B12-$O12/3600)^4+'sv10'!$V$4*($B12-$O12/3600)^5+'sv10'!$U$4*($B12-$O12/3600)^6+'sv10'!$T$4*($B12-$O12/3600)^7+'sv10'!$S$4*($B12-$O12/3600)^8-J12*coord!$B$7*O12</f>
        <v>-18047.388040190042</v>
      </c>
      <c r="S12" s="5">
        <f>'sv10'!$AA$5+'sv10'!$Z$5*($B12-$O12/3600)+'sv10'!$Y$5*($B12-$O12/3600)^2+'sv10'!$X$5*($B12-$O12/3600)^3+'sv10'!$W$5*($B12-$O12/3600)^4+'sv10'!$V$5*($B12-$O12/3600)^5+'sv10'!$U$5*($B12-$O12/3600)^6+'sv10'!$T$5*($B12-$O12/3600)^7+'sv10'!$S$5*($B12-$O12/3600)^8</f>
        <v>17734.04044106129</v>
      </c>
      <c r="T12">
        <f>coord!$B$6*M12/10^6</f>
        <v>-12891.241249275561</v>
      </c>
      <c r="U12">
        <f>SQRT(($Q12*1000+coord!$B$7*$O12*$R12*1000-coord!$B$2)^2+($R12*1000-coord!$B$7*$O12*$Q12*1000-coord!$C$2)^2+($S12*1000-coord!$D$2)^2)</f>
        <v>23299434.499370787</v>
      </c>
      <c r="V12" s="3">
        <f>$D12-(U12-$T12)-coord!$E$2</f>
        <v>-14.944620061665773</v>
      </c>
      <c r="W12" s="3"/>
      <c r="Y12">
        <f>-(Q12*1000-coord!$B$2)/$U12</f>
        <v>-0.1236925294594588</v>
      </c>
      <c r="Z12">
        <f>-(R12*1000-coord!$C$2)/$U12</f>
        <v>0.81426689793275397</v>
      </c>
      <c r="AA12">
        <f>-(S12*1000-coord!$D$2)/$U12</f>
        <v>-0.56715763496827165</v>
      </c>
      <c r="AB12">
        <v>1</v>
      </c>
      <c r="AD12">
        <v>-0.72790960158454643</v>
      </c>
      <c r="AE12">
        <v>-0.82112953655751653</v>
      </c>
      <c r="AF12">
        <v>-0.56715763496827165</v>
      </c>
      <c r="AG12">
        <v>-0.50090052845456201</v>
      </c>
      <c r="AH12">
        <v>-0.12806357763875437</v>
      </c>
      <c r="AI12">
        <v>-0.81995049482074156</v>
      </c>
      <c r="AJ12">
        <v>0.10573250986886673</v>
      </c>
      <c r="AL12">
        <v>1.1165952925919755</v>
      </c>
      <c r="AM12">
        <v>-0.53625782812644973</v>
      </c>
      <c r="AN12">
        <v>2.476573683712584</v>
      </c>
      <c r="AO12">
        <v>-3.4593788641555254</v>
      </c>
      <c r="AQ12">
        <v>1.3089922800931761</v>
      </c>
      <c r="AR12">
        <v>0.20463884733148716</v>
      </c>
      <c r="AS12">
        <v>2.1909269748513962</v>
      </c>
      <c r="AT12">
        <v>1.6702037417443802</v>
      </c>
      <c r="AV12">
        <v>34.961289694032288</v>
      </c>
      <c r="AX12">
        <v>15.086883918463556</v>
      </c>
      <c r="BA12">
        <f>SQRT(($Q12*1000+coord!$B$7*$O12*$R12*1000-coord!$B$2-AX$10)^2+($R12*1000-coord!$B$7*$O12*$Q12*1000-coord!$C$2-AX$11)^2+($S12*1000-coord!$D$2-AX$12)^2)</f>
        <v>23299408.33262651</v>
      </c>
      <c r="BB12" s="3">
        <f t="shared" si="2"/>
        <v>4.6080884425039628</v>
      </c>
      <c r="BD12" s="1"/>
      <c r="BE12" s="1"/>
      <c r="BF12" s="1"/>
      <c r="BS12">
        <f>COS(RADIANS(BH10))</f>
        <v>0.70201336243853274</v>
      </c>
      <c r="BT12">
        <v>0</v>
      </c>
      <c r="BU12">
        <f>SIN(RADIANS(BH10))</f>
        <v>0.71216377256762031</v>
      </c>
      <c r="BW12" t="s">
        <v>95</v>
      </c>
      <c r="BX12">
        <v>0.68693691678412339</v>
      </c>
      <c r="BY12">
        <v>0.14470809722118927</v>
      </c>
      <c r="BZ12">
        <v>0.71216377256762031</v>
      </c>
      <c r="CA12">
        <v>0</v>
      </c>
      <c r="CB12" s="1">
        <v>13.696507291959552</v>
      </c>
      <c r="CD12" s="1"/>
      <c r="CE12" s="1"/>
      <c r="CF12" s="1"/>
      <c r="CH12">
        <v>2.5889677181601995</v>
      </c>
      <c r="CI12">
        <v>9.6654876490070388E-2</v>
      </c>
      <c r="CJ12">
        <v>2.4891068390266362</v>
      </c>
      <c r="CK12">
        <v>2.3967568396312764</v>
      </c>
      <c r="CM12">
        <v>0.70201336243853274</v>
      </c>
      <c r="CN12">
        <v>0</v>
      </c>
      <c r="CO12">
        <v>0.71216377256762031</v>
      </c>
      <c r="CP12">
        <v>0</v>
      </c>
      <c r="CR12" s="5">
        <v>-7.0974932285077674E-2</v>
      </c>
      <c r="CS12" s="5">
        <v>-0.43909248157765274</v>
      </c>
      <c r="CT12" s="5">
        <v>3.5650959620356959</v>
      </c>
      <c r="CU12" s="5">
        <v>2.3967568396312764</v>
      </c>
    </row>
    <row r="13" spans="1:108">
      <c r="A13">
        <v>2</v>
      </c>
      <c r="B13">
        <f t="shared" si="1"/>
        <v>0.26666666666666666</v>
      </c>
      <c r="C13">
        <v>4</v>
      </c>
      <c r="D13">
        <v>21058306.142999999</v>
      </c>
      <c r="E13">
        <v>110662144.97149</v>
      </c>
      <c r="F13">
        <v>-539.81200000000001</v>
      </c>
      <c r="G13">
        <v>21058305.738000002</v>
      </c>
      <c r="H13">
        <v>86230239.956479996</v>
      </c>
      <c r="J13" s="5">
        <f>'sv04'!$AA$3+'sv04'!$Z$3*($B13)+'sv04'!$Y$3*($B13)^2+'sv04'!$X$3*($B13)^3+'sv04'!$W$3*($B13)^4+'sv04'!$V$3*($B13)^5+'sv04'!$U$3*($B13)^6+'sv04'!$T$3*($B13)^7+'sv04'!$S$3*($B13)^8</f>
        <v>20629.097823920081</v>
      </c>
      <c r="K13" s="5">
        <f>'sv04'!$AA$4+'sv04'!$Z$4*($B13)+'sv04'!$Y$4*($B13)^2+'sv04'!$X$4*($B13)^3+'sv04'!$W$4*($B13)^4+'sv04'!$V$4*($B13)^5+'sv04'!$U$4*($B13)^6+'sv04'!$T$4*($B13)^7+'sv04'!$S$4*($B13)^8</f>
        <v>-7398.1196624029662</v>
      </c>
      <c r="L13" s="5">
        <f>'sv04'!$AA$5+'sv04'!$Z$5*($B13)+'sv04'!$Y$5*($B13)^2+'sv04'!$X$5*($B13)^3+'sv04'!$W$5*($B13)^4+'sv04'!$V$5*($B13)^5+'sv04'!$U$5*($B13)^6+'sv04'!$T$5*($B13)^7+'sv04'!$S$5*($B13)^8</f>
        <v>15080.559166400792</v>
      </c>
      <c r="M13" s="5">
        <f>'sv04'!$AA$6+'sv04'!$Z$6*$B13+'sv04'!$Y$6*$B13^2+'sv04'!$X$6*$B13^3+'sv04'!$W$6*$B13^4+'sv04'!$V$6*$B13^5+'sv04'!$U$6*$B13^6+'sv04'!$T$6*$B13^7+'sv04'!$S$6*$B13^8</f>
        <v>86.595356440089603</v>
      </c>
      <c r="O13">
        <f>SQRT(($J13*1000-coord!$B$2)^2+($K13*1000-coord!$C$2)^2+($L13*1000-coord!$D$2)^2)/coord!$B$6</f>
        <v>7.0329520116028429E-2</v>
      </c>
      <c r="Q13" s="5">
        <f>'sv04'!$AA$3+'sv04'!$Z$3*($B13-$O13/3600)+'sv04'!$Y$3*($B13-$O13/3600)^2+'sv04'!$X$3*($B13-$O13/3600)^3+'sv04'!$W$3*($B13-$O13/3600)^4+'sv04'!$V$3*($B13-$O13/3600)^5+'sv04'!$U$3*($B13-$O13/3600)^6+'sv04'!$T$3*($B13-$O13/3600)^7+'sv04'!$S$3*($B13-$O13/3600)^8+K13*coord!$B$7*O13</f>
        <v>20628.928907137859</v>
      </c>
      <c r="R13" s="5">
        <f>'sv04'!$AA$4+'sv04'!$Z$4*($B13-$O13/3600)+'sv04'!$Y$4*($B13-$O13/3600)^2+'sv04'!$X$4*($B13-$O13/3600)^3+'sv04'!$W$4*($B13-$O13/3600)^4+'sv04'!$V$4*($B13-$O13/3600)^5+'sv04'!$U$4*($B13-$O13/3600)^6+'sv04'!$T$4*($B13-$O13/3600)^7+'sv04'!$S$4*($B13-$O13/3600)^8-J13*coord!$B$7*O13</f>
        <v>-7398.2662005409884</v>
      </c>
      <c r="S13" s="5">
        <f>'sv04'!$AA$5+'sv04'!$Z$5*($B13-$O13/3600)+'sv04'!$Y$5*($B13-$O13/3600)^2+'sv04'!$X$5*($B13-$O13/3600)^3+'sv04'!$W$5*($B13-$O13/3600)^4+'sv04'!$V$5*($B13-$O13/3600)^5+'sv04'!$U$5*($B13-$O13/3600)^6+'sv04'!$T$5*($B13-$O13/3600)^7+'sv04'!$S$5*($B13-$O13/3600)^8</f>
        <v>15080.714044937111</v>
      </c>
      <c r="T13">
        <f>coord!$B$6*M13/10^6</f>
        <v>25960.634758560591</v>
      </c>
      <c r="U13">
        <f>SQRT(($Q13*1000+coord!$B$7*$O13*$R13*1000-coord!$B$2)^2+($R13*1000-coord!$B$7*$O13*$Q13*1000-coord!$C$2)^2+($S13*1000-coord!$D$2)^2)</f>
        <v>21084277.557505392</v>
      </c>
      <c r="V13" s="3">
        <f>$D13-(U13-$T13)-coord!$E$2</f>
        <v>-10.779746830463409</v>
      </c>
      <c r="W13" s="3"/>
      <c r="Y13">
        <f>-(Q13*1000-coord!$B$2)/$U13</f>
        <v>-0.77024459064554818</v>
      </c>
      <c r="Z13">
        <f>-(R13*1000-coord!$C$2)/$U13</f>
        <v>0.39474136076236105</v>
      </c>
      <c r="AA13">
        <f>-(S13*1000-coord!$D$2)/$U13</f>
        <v>-0.50090052845456201</v>
      </c>
      <c r="AB13">
        <v>1</v>
      </c>
      <c r="AD13">
        <v>1</v>
      </c>
      <c r="AE13">
        <v>1</v>
      </c>
      <c r="AF13">
        <v>1</v>
      </c>
      <c r="AG13">
        <v>1</v>
      </c>
      <c r="AH13">
        <v>1</v>
      </c>
      <c r="AI13">
        <v>1</v>
      </c>
      <c r="AJ13">
        <v>1</v>
      </c>
      <c r="AL13">
        <v>-3.1583982250785332</v>
      </c>
      <c r="AM13">
        <v>0.10818655340834418</v>
      </c>
      <c r="AN13">
        <v>-3.4593788641555254</v>
      </c>
      <c r="AO13">
        <v>7</v>
      </c>
      <c r="AQ13">
        <v>1.7542824720350689</v>
      </c>
      <c r="AR13">
        <v>1.5319456812807939E-2</v>
      </c>
      <c r="AS13">
        <v>1.67020374174438</v>
      </c>
      <c r="AT13">
        <v>1.7595618299647511</v>
      </c>
      <c r="AV13">
        <v>-35.187441077083349</v>
      </c>
      <c r="AX13">
        <v>6.6140357727114818</v>
      </c>
      <c r="BA13">
        <f>SQRT(($Q13*1000+coord!$B$7*$O13*$R13*1000-coord!$B$2-AX$10)^2+($R13*1000-coord!$B$7*$O13*$Q13*1000-coord!$C$2-AX$11)^2+($S13*1000-coord!$D$2-AX$12)^2)</f>
        <v>21084255.36989503</v>
      </c>
      <c r="BB13" s="3">
        <f t="shared" si="2"/>
        <v>4.7938277585502007</v>
      </c>
      <c r="BD13" s="1"/>
      <c r="BE13" s="1"/>
      <c r="BF13" s="1"/>
      <c r="BX13">
        <v>0</v>
      </c>
      <c r="BY13">
        <v>0</v>
      </c>
      <c r="BZ13">
        <v>0</v>
      </c>
      <c r="CA13">
        <v>1</v>
      </c>
      <c r="CD13" s="1"/>
      <c r="CE13" s="1"/>
      <c r="CF13" s="1"/>
      <c r="CH13">
        <v>1.7542824720350689</v>
      </c>
      <c r="CI13">
        <v>1.5319456812807939E-2</v>
      </c>
      <c r="CJ13">
        <v>1.67020374174438</v>
      </c>
      <c r="CK13">
        <v>1.7595618299647511</v>
      </c>
      <c r="CM13">
        <v>0</v>
      </c>
      <c r="CN13">
        <v>0</v>
      </c>
      <c r="CO13">
        <v>0</v>
      </c>
      <c r="CP13">
        <v>1</v>
      </c>
      <c r="CR13" s="5">
        <v>-5.2249220680452568E-2</v>
      </c>
      <c r="CS13" s="5">
        <v>-0.34662499477449371</v>
      </c>
      <c r="CT13" s="5">
        <v>2.3967568396312773</v>
      </c>
      <c r="CU13" s="5">
        <v>1.7595618299647511</v>
      </c>
    </row>
    <row r="14" spans="1:108">
      <c r="A14">
        <v>2</v>
      </c>
      <c r="B14">
        <f t="shared" si="1"/>
        <v>0.26666666666666666</v>
      </c>
      <c r="C14">
        <v>20</v>
      </c>
      <c r="D14">
        <v>22668268.537999999</v>
      </c>
      <c r="E14">
        <v>119122555.42848</v>
      </c>
      <c r="F14">
        <v>-2903.105</v>
      </c>
      <c r="G14">
        <v>22668268.190000001</v>
      </c>
      <c r="H14">
        <v>92822765.656460002</v>
      </c>
      <c r="J14" s="5">
        <f>'sv20'!$AA$3+'sv20'!$Z$3*($B14)+'sv20'!$Y$3*($B14)^2+'sv20'!$X$3*($B14)^3+'sv20'!$W$3*($B14)^4+'sv20'!$V$3*($B14)^5+'sv20'!$U$3*($B14)^6+'sv20'!$T$3*($B14)^7+'sv20'!$S$3*($B14)^8</f>
        <v>14173.538538301531</v>
      </c>
      <c r="K14" s="5">
        <f>'sv20'!$AA$4+'sv20'!$Z$4*($B14)+'sv20'!$Y$4*($B14)^2+'sv20'!$X$4*($B14)^3+'sv20'!$W$4*($B14)^4+'sv20'!$V$4*($B14)^5+'sv20'!$U$4*($B14)^6+'sv20'!$T$4*($B14)^7+'sv20'!$S$4*($B14)^8</f>
        <v>21183.738387295412</v>
      </c>
      <c r="L14" s="5">
        <f>'sv20'!$AA$5+'sv20'!$Z$5*($B14)+'sv20'!$Y$5*($B14)^2+'sv20'!$X$5*($B14)^3+'sv20'!$W$5*($B14)^4+'sv20'!$V$5*($B14)^5+'sv20'!$U$5*($B14)^6+'sv20'!$T$5*($B14)^7+'sv20'!$S$5*($B14)^8</f>
        <v>7424.4863778835434</v>
      </c>
      <c r="M14" s="5">
        <f>'sv20'!$AA$6+'sv20'!$Z$6*$B14+'sv20'!$Y$6*$B14^2+'sv20'!$X$6*$B14^3+'sv20'!$W$6*$B14^4+'sv20'!$V$6*$B14^5+'sv20'!$U$6*$B14^6+'sv20'!$T$6*$B14^7+'sv20'!$S$6*$B14^8</f>
        <v>55.818261104757624</v>
      </c>
      <c r="O14">
        <f>SQRT(($J14*1000-coord!$B$2)^2+($K14*1000-coord!$C$2)^2+($L14*1000-coord!$D$2)^2)/coord!$B$6</f>
        <v>7.5669212149383866E-2</v>
      </c>
      <c r="Q14" s="5">
        <f>'sv20'!$AA$3+'sv20'!$Z$3*($B14-$O14/3600)+'sv20'!$Y$3*($B14-$O14/3600)^2+'sv20'!$X$3*($B14-$O14/3600)^3+'sv20'!$W$3*($B14-$O14/3600)^4+'sv20'!$V$3*($B14-$O14/3600)^5+'sv20'!$U$3*($B14-$O14/3600)^6+'sv20'!$T$3*($B14-$O14/3600)^7+'sv20'!$S$3*($B14-$O14/3600)^8+K14*coord!$B$7*O14</f>
        <v>14173.65218190393</v>
      </c>
      <c r="R14" s="5">
        <f>'sv20'!$AA$4+'sv20'!$Z$4*($B14-$O14/3600)+'sv20'!$Y$4*($B14-$O14/3600)^2+'sv20'!$X$4*($B14-$O14/3600)^3+'sv20'!$W$4*($B14-$O14/3600)^4+'sv20'!$V$4*($B14-$O14/3600)^5+'sv20'!$U$4*($B14-$O14/3600)^6+'sv20'!$T$4*($B14-$O14/3600)^7+'sv20'!$S$4*($B14-$O14/3600)^8-J14*coord!$B$7*O14</f>
        <v>21183.583194787399</v>
      </c>
      <c r="S14" s="5">
        <f>'sv20'!$AA$5+'sv20'!$Z$5*($B14-$O14/3600)+'sv20'!$Y$5*($B14-$O14/3600)^2+'sv20'!$X$5*($B14-$O14/3600)^3+'sv20'!$W$5*($B14-$O14/3600)^4+'sv20'!$V$5*($B14-$O14/3600)^5+'sv20'!$U$5*($B14-$O14/3600)^6+'sv20'!$T$5*($B14-$O14/3600)^7+'sv20'!$S$5*($B14-$O14/3600)^8</f>
        <v>7424.7077734992827</v>
      </c>
      <c r="T14">
        <f>coord!$B$6*M14/10^6</f>
        <v>16733.893697881085</v>
      </c>
      <c r="U14">
        <f>SQRT(($Q14*1000+coord!$B$7*$O14*$R14*1000-coord!$B$2)^2+($R14*1000-coord!$B$7*$O14*$Q14*1000-coord!$C$2)^2+($S14*1000-coord!$D$2)^2)</f>
        <v>22684978.45182908</v>
      </c>
      <c r="V14" s="3">
        <f>$D14-(U14-$T14)-coord!$E$2</f>
        <v>23.979868799448013</v>
      </c>
      <c r="W14" s="3"/>
      <c r="Y14">
        <f>-(Q14*1000-coord!$B$2)/$U14</f>
        <v>-0.43133274434805507</v>
      </c>
      <c r="Z14">
        <f>-(R14*1000-coord!$C$2)/$U14</f>
        <v>-0.89305850673858245</v>
      </c>
      <c r="AA14">
        <f>-(S14*1000-coord!$D$2)/$U14</f>
        <v>-0.12806357763875437</v>
      </c>
      <c r="AB14">
        <v>1</v>
      </c>
      <c r="BA14">
        <f>SQRT(($Q14*1000+coord!$B$7*$O14*$R14*1000-coord!$B$2-AX$10)^2+($R14*1000-coord!$B$7*$O14*$Q14*1000-coord!$C$2-AX$11)^2+($S14*1000-coord!$D$2-AX$12)^2)</f>
        <v>22684990.969567958</v>
      </c>
      <c r="BB14" s="3">
        <f t="shared" si="2"/>
        <v>4.8480941480095723</v>
      </c>
      <c r="BD14" s="1"/>
      <c r="BE14" s="1"/>
      <c r="BF14" s="1"/>
      <c r="CD14" s="1"/>
      <c r="CE14" s="1"/>
      <c r="CF14" s="1"/>
    </row>
    <row r="15" spans="1:108">
      <c r="A15">
        <v>2</v>
      </c>
      <c r="B15">
        <f t="shared" si="1"/>
        <v>0.26666666666666666</v>
      </c>
      <c r="C15">
        <v>13</v>
      </c>
      <c r="D15">
        <v>20068181.300000001</v>
      </c>
      <c r="E15">
        <v>105459004.45649</v>
      </c>
      <c r="F15">
        <v>-389.85399999999998</v>
      </c>
      <c r="G15">
        <v>20068179.489999998</v>
      </c>
      <c r="H15">
        <v>82175839.768480003</v>
      </c>
      <c r="J15" s="5">
        <f>'sv13'!$AA$3+'sv13'!$Z$3*($B15)+'sv13'!$Y$3*($B15)^2+'sv13'!$X$3*($B15)^3+'sv13'!$W$3*($B15)^4+'sv13'!$V$3*($B15)^5+'sv13'!$U$3*($B15)^6+'sv13'!$T$3*($B15)^7+'sv13'!$S$3*($B15)^8</f>
        <v>15592.864969003098</v>
      </c>
      <c r="K15" s="5">
        <f>'sv13'!$AA$4+'sv13'!$Z$4*($B15)+'sv13'!$Y$4*($B15)^2+'sv13'!$X$4*($B15)^3+'sv13'!$W$4*($B15)^4+'sv13'!$V$4*($B15)^5+'sv13'!$U$4*($B15)^6+'sv13'!$T$4*($B15)^7+'sv13'!$S$4*($B15)^8</f>
        <v>3688.3800204144914</v>
      </c>
      <c r="L15" s="5">
        <f>'sv13'!$AA$5+'sv13'!$Z$5*($B15)+'sv13'!$Y$5*($B15)^2+'sv13'!$X$5*($B15)^3+'sv13'!$W$5*($B15)^4+'sv13'!$V$5*($B15)^5+'sv13'!$U$5*($B15)^6+'sv13'!$T$5*($B15)^7+'sv13'!$S$5*($B15)^8</f>
        <v>21049.358732747543</v>
      </c>
      <c r="M15" s="5">
        <f>'sv13'!$AA$6+'sv13'!$Z$6*$B15+'sv13'!$Y$6*$B15^2+'sv13'!$X$6*$B15^3+'sv13'!$W$6*$B15^4+'sv13'!$V$6*$B15^5+'sv13'!$U$6*$B15^6+'sv13'!$T$6*$B15^7+'sv13'!$S$6*$B15^8</f>
        <v>304.21961300746625</v>
      </c>
      <c r="O15">
        <f>SQRT(($J15*1000-coord!$B$2)^2+($K15*1000-coord!$C$2)^2+($L15*1000-coord!$D$2)^2)/coord!$B$6</f>
        <v>6.7244509276350672E-2</v>
      </c>
      <c r="Q15" s="5">
        <f>'sv13'!$AA$3+'sv13'!$Z$3*($B15-$O15/3600)+'sv13'!$Y$3*($B15-$O15/3600)^2+'sv13'!$X$3*($B15-$O15/3600)^3+'sv13'!$W$3*($B15-$O15/3600)^4+'sv13'!$V$3*($B15-$O15/3600)^5+'sv13'!$U$3*($B15-$O15/3600)^6+'sv13'!$T$3*($B15-$O15/3600)^7+'sv13'!$S$3*($B15-$O15/3600)^8+K15*coord!$B$7*O15</f>
        <v>15593.006968824526</v>
      </c>
      <c r="R15" s="5">
        <f>'sv13'!$AA$4+'sv13'!$Z$4*($B15-$O15/3600)+'sv13'!$Y$4*($B15-$O15/3600)^2+'sv13'!$X$4*($B15-$O15/3600)^3+'sv13'!$W$4*($B15-$O15/3600)^4+'sv13'!$V$4*($B15-$O15/3600)^5+'sv13'!$U$4*($B15-$O15/3600)^6+'sv13'!$T$4*($B15-$O15/3600)^7+'sv13'!$S$4*($B15-$O15/3600)^8-J15*coord!$B$7*O15</f>
        <v>3688.1711554702069</v>
      </c>
      <c r="S15" s="5">
        <f>'sv13'!$AA$5+'sv13'!$Z$5*($B15-$O15/3600)+'sv13'!$Y$5*($B15-$O15/3600)^2+'sv13'!$X$5*($B15-$O15/3600)^3+'sv13'!$W$5*($B15-$O15/3600)^4+'sv13'!$V$5*($B15-$O15/3600)^5+'sv13'!$U$5*($B15-$O15/3600)^6+'sv13'!$T$5*($B15-$O15/3600)^7+'sv13'!$S$5*($B15-$O15/3600)^8</f>
        <v>21049.290797121546</v>
      </c>
      <c r="T15">
        <f>coord!$B$6*M15/10^6</f>
        <v>91202.745555317073</v>
      </c>
      <c r="U15">
        <f>SQRT(($Q15*1000+coord!$B$7*$O15*$R15*1000-coord!$B$2)^2+($R15*1000-coord!$B$7*$O15*$Q15*1000-coord!$C$2)^2+($S15*1000-coord!$D$2)^2)</f>
        <v>20159390.874488451</v>
      </c>
      <c r="V15" s="3">
        <f>$D15-(U15-$T15)-coord!$E$2</f>
        <v>-6.8289331309497356</v>
      </c>
      <c r="W15" s="3"/>
      <c r="Y15">
        <f>-(Q15*1000-coord!$B$2)/$U15</f>
        <v>-0.55577714960640312</v>
      </c>
      <c r="Z15">
        <f>-(R15*1000-coord!$C$2)/$U15</f>
        <v>-0.13708752211196629</v>
      </c>
      <c r="AA15">
        <f>-(S15*1000-coord!$D$2)/$U15</f>
        <v>-0.81995049482074156</v>
      </c>
      <c r="AB15">
        <v>1</v>
      </c>
      <c r="BA15">
        <f>SQRT(($Q15*1000+coord!$B$7*$O15*$R15*1000-coord!$B$2-AX$10)^2+($R15*1000-coord!$B$7*$O15*$Q15*1000-coord!$C$2-AX$11)^2+($S15*1000-coord!$D$2-AX$12)^2)</f>
        <v>20159376.522075471</v>
      </c>
      <c r="BB15" s="3">
        <f t="shared" si="2"/>
        <v>0.90944407638863112</v>
      </c>
      <c r="BD15" s="1"/>
      <c r="BE15" s="1"/>
      <c r="BF15" s="1"/>
      <c r="CD15" s="1"/>
      <c r="CE15" s="1"/>
      <c r="CF15" s="1"/>
    </row>
    <row r="16" spans="1:108">
      <c r="A16">
        <v>2</v>
      </c>
      <c r="B16">
        <f t="shared" si="1"/>
        <v>0.26666666666666666</v>
      </c>
      <c r="C16">
        <v>7</v>
      </c>
      <c r="D16">
        <v>22205609.162999999</v>
      </c>
      <c r="E16">
        <v>116691266.84548</v>
      </c>
      <c r="F16">
        <v>3124.078</v>
      </c>
      <c r="G16">
        <v>22205609.134</v>
      </c>
      <c r="H16">
        <v>90928259.662469998</v>
      </c>
      <c r="J16" s="5">
        <f>'sv07'!$AA$3+'sv07'!$Z$3*($B16)+'sv07'!$Y$3*($B16)^2+'sv07'!$X$3*($B16)^3+'sv07'!$W$3*($B16)^4+'sv07'!$V$3*($B16)^5+'sv07'!$U$3*($B16)^6+'sv07'!$T$3*($B16)^7+'sv07'!$S$3*($B16)^8</f>
        <v>25800.455696994966</v>
      </c>
      <c r="K16" s="5">
        <f>'sv07'!$AA$4+'sv07'!$Z$4*($B16)+'sv07'!$Y$4*($B16)^2+'sv07'!$X$4*($B16)^3+'sv07'!$W$4*($B16)^4+'sv07'!$V$4*($B16)^5+'sv07'!$U$4*($B16)^6+'sv07'!$T$4*($B16)^7+'sv07'!$S$4*($B16)^8</f>
        <v>6320.1135675011383</v>
      </c>
      <c r="L16" s="5">
        <f>'sv07'!$AA$5+'sv07'!$Z$5*($B16)+'sv07'!$Y$5*($B16)^2+'sv07'!$X$5*($B16)^3+'sv07'!$W$5*($B16)^4+'sv07'!$V$5*($B16)^5+'sv07'!$U$5*($B16)^6+'sv07'!$T$5*($B16)^7+'sv07'!$S$5*($B16)^8</f>
        <v>2171.9885807569121</v>
      </c>
      <c r="M16" s="5">
        <f>'sv07'!$AA$6+'sv07'!$Z$6*$B16+'sv07'!$Y$6*$B16^2+'sv07'!$X$6*$B16^3+'sv07'!$W$6*$B16^4+'sv07'!$V$6*$B16^5+'sv07'!$U$6*$B16^6+'sv07'!$T$6*$B16^7+'sv07'!$S$6*$B16^8</f>
        <v>-0.63757011855585588</v>
      </c>
      <c r="O16">
        <f>SQRT(($J16*1000-coord!$B$2)^2+($K16*1000-coord!$C$2)^2+($L16*1000-coord!$D$2)^2)/coord!$B$6</f>
        <v>7.4069164639351107E-2</v>
      </c>
      <c r="Q16" s="5">
        <f>'sv07'!$AA$3+'sv07'!$Z$3*($B16-$O16/3600)+'sv07'!$Y$3*($B16-$O16/3600)^2+'sv07'!$X$3*($B16-$O16/3600)^3+'sv07'!$W$3*($B16-$O16/3600)^4+'sv07'!$V$3*($B16-$O16/3600)^5+'sv07'!$U$3*($B16-$O16/3600)^6+'sv07'!$T$3*($B16-$O16/3600)^7+'sv07'!$S$3*($B16-$O16/3600)^8+K16*coord!$B$7*O16</f>
        <v>25800.513049990153</v>
      </c>
      <c r="R16" s="5">
        <f>'sv07'!$AA$4+'sv07'!$Z$4*($B16-$O16/3600)+'sv07'!$Y$4*($B16-$O16/3600)^2+'sv07'!$X$4*($B16-$O16/3600)^3+'sv07'!$W$4*($B16-$O16/3600)^4+'sv07'!$V$4*($B16-$O16/3600)^5+'sv07'!$U$4*($B16-$O16/3600)^6+'sv07'!$T$4*($B16-$O16/3600)^7+'sv07'!$S$4*($B16-$O16/3600)^8-J16*coord!$B$7*O16</f>
        <v>6319.9610521776804</v>
      </c>
      <c r="S16" s="5">
        <f>'sv07'!$AA$5+'sv07'!$Z$5*($B16-$O16/3600)+'sv07'!$Y$5*($B16-$O16/3600)^2+'sv07'!$X$5*($B16-$O16/3600)^3+'sv07'!$W$5*($B16-$O16/3600)^4+'sv07'!$V$5*($B16-$O16/3600)^5+'sv07'!$U$5*($B16-$O16/3600)^6+'sv07'!$T$5*($B16-$O16/3600)^7+'sv07'!$S$5*($B16-$O16/3600)^8</f>
        <v>2171.753582761105</v>
      </c>
      <c r="T16">
        <f>coord!$B$6*M16/10^6</f>
        <v>-191.13871298921143</v>
      </c>
      <c r="U16">
        <f>SQRT(($Q16*1000+coord!$B$7*$O16*$R16*1000-coord!$B$2)^2+($R16*1000-coord!$B$7*$O16*$Q16*1000-coord!$C$2)^2+($S16*1000-coord!$D$2)^2)</f>
        <v>22205419.075464714</v>
      </c>
      <c r="V16" s="3">
        <f>$D16-(U16-$T16)-coord!$E$2</f>
        <v>-1.0511777065694332</v>
      </c>
      <c r="W16" s="3"/>
      <c r="X16" s="1" t="s">
        <v>128</v>
      </c>
      <c r="Y16">
        <f>-(Q16*1000-coord!$B$2)/$U16</f>
        <v>-0.96425268113261453</v>
      </c>
      <c r="Z16">
        <f>-(R16*1000-coord!$C$2)/$U16</f>
        <v>-0.24297631225249758</v>
      </c>
      <c r="AA16">
        <f>-(S16*1000-coord!$D$2)/$U16</f>
        <v>0.10573250986886673</v>
      </c>
      <c r="AB16">
        <v>1</v>
      </c>
      <c r="BA16">
        <f>SQRT(($Q16*1000+coord!$B$7*$O16*$R16*1000-coord!$B$2-AX$10)^2+($R16*1000-coord!$B$7*$O16*$Q16*1000-coord!$C$2-AX$11)^2+($S16*1000-coord!$D$2-AX$12)^2)</f>
        <v>22205417.336443953</v>
      </c>
      <c r="BB16" s="3">
        <f t="shared" si="2"/>
        <v>-5.926192718178477</v>
      </c>
      <c r="BC16" s="3" t="s">
        <v>127</v>
      </c>
      <c r="BD16" s="1" t="s">
        <v>128</v>
      </c>
      <c r="BE16" s="1"/>
      <c r="BF16" s="1"/>
      <c r="CD16" s="1"/>
      <c r="CE16" s="1"/>
      <c r="CF16" s="1"/>
    </row>
    <row r="17" spans="1:108">
      <c r="V17" s="3"/>
      <c r="W17" s="3">
        <f>AVERAGE($V10:$V16)</f>
        <v>-5.026777296726193</v>
      </c>
      <c r="X17" s="1">
        <f>SQRT(DEVSQ($V10:$V16)/6)</f>
        <v>15.309498631641418</v>
      </c>
      <c r="BB17" s="3"/>
      <c r="BC17" s="3">
        <f>AVERAGE($BB10:$BB16)</f>
        <v>6.1369082314196734E-5</v>
      </c>
      <c r="BD17" s="1">
        <f>SQRT(DEVSQ($BB10:$BB16)/6)</f>
        <v>5.0168334676949558</v>
      </c>
      <c r="BE17" s="1"/>
      <c r="BF17" s="1"/>
      <c r="CD17" s="1"/>
      <c r="CE17" s="1"/>
      <c r="CF17" s="1"/>
    </row>
    <row r="18" spans="1:108">
      <c r="A18">
        <v>4</v>
      </c>
      <c r="B18">
        <f t="shared" ref="B18:B24" si="3">(60-45)/60+30*A18/3600</f>
        <v>0.28333333333333333</v>
      </c>
      <c r="C18">
        <v>2</v>
      </c>
      <c r="D18">
        <v>22873721.166999999</v>
      </c>
      <c r="E18">
        <v>120202218.68648</v>
      </c>
      <c r="F18">
        <v>2553.8939999999998</v>
      </c>
      <c r="G18">
        <v>22873718.221000001</v>
      </c>
      <c r="H18">
        <v>93664055.595459998</v>
      </c>
      <c r="J18" s="5">
        <f>'sv02'!$AA$3+'sv02'!$Z$3*($B18)+'sv02'!$Y$3*($B18)^2+'sv02'!$X$3*($B18)^3+'sv02'!$W$3*($B18)^4+'sv02'!$V$3*($B18)^5+'sv02'!$U$3*($B18)^6+'sv02'!$T$3*($B18)^7+'sv02'!$S$3*($B18)^8</f>
        <v>5896.0211355896063</v>
      </c>
      <c r="K18" s="5">
        <f>'sv02'!$AA$4+'sv02'!$Z$4*($B18)+'sv02'!$Y$4*($B18)^2+'sv02'!$X$4*($B18)^3+'sv02'!$W$4*($B18)^4+'sv02'!$V$4*($B18)^5+'sv02'!$U$4*($B18)^6+'sv02'!$T$4*($B18)^7+'sv02'!$S$4*($B18)^8</f>
        <v>-14744.259649533918</v>
      </c>
      <c r="L18" s="5">
        <f>'sv02'!$AA$5+'sv02'!$Z$5*($B18)+'sv02'!$Y$5*($B18)^2+'sv02'!$X$5*($B18)^3+'sv02'!$W$5*($B18)^4+'sv02'!$V$5*($B18)^5+'sv02'!$U$5*($B18)^6+'sv02'!$T$5*($B18)^7+'sv02'!$S$5*($B18)^8</f>
        <v>21221.685032486756</v>
      </c>
      <c r="M18" s="5">
        <f>'sv02'!$AA$6+'sv02'!$Z$6*$B18+'sv02'!$Y$6*$B18^2+'sv02'!$X$6*$B18^3+'sv02'!$W$6*$B18^4+'sv02'!$V$6*$B18^5+'sv02'!$U$6*$B18^6+'sv02'!$T$6*$B18^7+'sv02'!$S$6*$B18^8</f>
        <v>257.59017088044357</v>
      </c>
      <c r="O18">
        <f>SQRT(($J18*1000-coord!$B$2)^2+($K18*1000-coord!$C$2)^2+($L18*1000-coord!$D$2)^2)/coord!$B$6</f>
        <v>7.6555957164532659E-2</v>
      </c>
      <c r="Q18" s="5">
        <f>'sv02'!$AA$3+'sv02'!$Z$3*($B18-$O18/3600)+'sv02'!$Y$3*($B18-$O18/3600)^2+'sv02'!$X$3*($B18-$O18/3600)^3+'sv02'!$W$3*($B18-$O18/3600)^4+'sv02'!$V$3*($B18-$O18/3600)^5+'sv02'!$U$3*($B18-$O18/3600)^6+'sv02'!$T$3*($B18-$O18/3600)^7+'sv02'!$S$3*($B18-$O18/3600)^8+K18*coord!$B$7*O18</f>
        <v>5895.7345988722791</v>
      </c>
      <c r="R18" s="5">
        <f>'sv02'!$AA$4+'sv02'!$Z$4*($B18-$O18/3600)+'sv02'!$Y$4*($B18-$O18/3600)^2+'sv02'!$X$4*($B18-$O18/3600)^3+'sv02'!$W$4*($B18-$O18/3600)^4+'sv02'!$V$4*($B18-$O18/3600)^5+'sv02'!$U$4*($B18-$O18/3600)^6+'sv02'!$T$4*($B18-$O18/3600)^7+'sv02'!$S$4*($B18-$O18/3600)^8-J18*coord!$B$7*O18</f>
        <v>-14744.330980915554</v>
      </c>
      <c r="S18" s="5">
        <f>'sv02'!$AA$5+'sv02'!$Z$5*($B18-$O18/3600)+'sv02'!$Y$5*($B18-$O18/3600)^2+'sv02'!$X$5*($B18-$O18/3600)^3+'sv02'!$W$5*($B18-$O18/3600)^4+'sv02'!$V$5*($B18-$O18/3600)^5+'sv02'!$U$5*($B18-$O18/3600)^6+'sv02'!$T$5*($B18-$O18/3600)^7+'sv02'!$S$5*($B18-$O18/3600)^8</f>
        <v>21221.718542190356</v>
      </c>
      <c r="T18">
        <f>coord!$B$6*M18/10^6</f>
        <v>77223.590484888206</v>
      </c>
      <c r="U18">
        <f>SQRT(($Q18*1000+coord!$B$7*$O18*$R18*1000-coord!$B$2)^2+($R18*1000-coord!$B$7*$O18*$Q18*1000-coord!$C$2)^2+($S18*1000-coord!$D$2)^2)</f>
        <v>22950969.909478698</v>
      </c>
      <c r="V18" s="3">
        <f>$D18-(U18-$T18)-coord!$E$2</f>
        <v>-25.151993811130524</v>
      </c>
      <c r="W18" s="3"/>
      <c r="Y18">
        <f>-(Q18*1000-coord!$B$2)/$U18</f>
        <v>-6.565545743885752E-2</v>
      </c>
      <c r="Z18">
        <f>-(R18*1000-coord!$C$2)/$U18</f>
        <v>0.68271194010168312</v>
      </c>
      <c r="AA18">
        <f>-(S18*1000-coord!$D$2)/$U18</f>
        <v>-0.72773091219087926</v>
      </c>
      <c r="AB18">
        <v>1</v>
      </c>
      <c r="AD18">
        <f t="array" ref="AD18:AJ21">TRANSPOSE(Y18:AB24)</f>
        <v>-6.565545743885752E-2</v>
      </c>
      <c r="AE18">
        <v>-0.2490088341914603</v>
      </c>
      <c r="AF18">
        <v>-0.12625153347137469</v>
      </c>
      <c r="AG18">
        <v>-0.77528865156711535</v>
      </c>
      <c r="AH18">
        <v>-0.43080887976299354</v>
      </c>
      <c r="AI18">
        <v>-0.55017013660189551</v>
      </c>
      <c r="AJ18">
        <v>-0.96491960336805516</v>
      </c>
      <c r="AL18">
        <f t="array" ref="AL18:AO21">MMULT(AD18:AJ21,Y18:AB24)</f>
        <v>2.1026812926046841</v>
      </c>
      <c r="AM18">
        <v>0.37604077848495032</v>
      </c>
      <c r="AN18">
        <v>1.1179559277064315</v>
      </c>
      <c r="AO18">
        <v>-3.162103096401752</v>
      </c>
      <c r="AQ18">
        <f t="array" ref="AQ18:AT21">MINVERSE(AL18:AO21)</f>
        <v>2.4574600152454078</v>
      </c>
      <c r="AR18">
        <v>-0.15402598384775149</v>
      </c>
      <c r="AS18">
        <v>1.3326196726660609</v>
      </c>
      <c r="AT18">
        <v>1.7707029284763605</v>
      </c>
      <c r="AV18">
        <f t="array" ref="AV18:AV21">MMULT(AD18:AJ21,V18:V24)</f>
        <v>6.2860785282546745</v>
      </c>
      <c r="AX18">
        <f t="array" ref="AX18:AX21">MMULT(AQ18:AT21,AV18:AV21)</f>
        <v>8.6315075350829389</v>
      </c>
      <c r="BA18">
        <f>SQRT(($Q18*1000+coord!$B$7*$O18*$R18*1000-coord!$B$2-AX$18)^2+($R18*1000-coord!$B$7*$O18*$Q18*1000-coord!$C$2-AX$19)^2+($S18*1000-coord!$D$2-AX$20)^2)</f>
        <v>22950944.298794501</v>
      </c>
      <c r="BB18" s="3">
        <f>$D18-(BA18-$T18)-AX$21</f>
        <v>-6.3082760733616112</v>
      </c>
      <c r="BD18" s="1">
        <f>coord!$B$2+$AX18</f>
        <v>4388886.8023075359</v>
      </c>
      <c r="BE18" s="1">
        <f>coord!$C$2+$AX19</f>
        <v>924549.90317251056</v>
      </c>
      <c r="BF18" s="1">
        <f>coord!$D$2+$AX20</f>
        <v>4519603.634488022</v>
      </c>
      <c r="BG18" s="1">
        <f>coord!$E$2+$AX21</f>
        <v>6.7669664596271275</v>
      </c>
      <c r="BH18" s="8">
        <f>lat($BD18,$BE18,$BF18)</f>
        <v>45.411241002917379</v>
      </c>
      <c r="BI18" s="8">
        <f>lon($BD18,$BE18,$BF18)</f>
        <v>11.895829926752114</v>
      </c>
      <c r="BJ18" s="6">
        <f>h($BD18,$BE18,$BF18)</f>
        <v>76.050386347807944</v>
      </c>
      <c r="BL18">
        <f>grado($BH18)</f>
        <v>45</v>
      </c>
      <c r="BM18">
        <f>MINUTOprimo($BH18)</f>
        <v>24</v>
      </c>
      <c r="BN18">
        <f>MINUTOsecondo($BH18)</f>
        <v>40.467610502563502</v>
      </c>
      <c r="BO18">
        <f>grado($BI18)</f>
        <v>11</v>
      </c>
      <c r="BP18">
        <f>MINUTOprimo($BI18)</f>
        <v>53</v>
      </c>
      <c r="BQ18">
        <f>MINUTOsecondo($BI18)</f>
        <v>44.98773630761093</v>
      </c>
      <c r="BS18">
        <f>-SIN(RADIANS(BH18))*COS(RADIANS(BI18))</f>
        <v>-0.69686935305157782</v>
      </c>
      <c r="BT18">
        <f>-SIN(RADIANS(BI18))</f>
        <v>-0.2061329674907981</v>
      </c>
      <c r="BU18">
        <f>COS(RADIANS(BH18))*COS(RADIANS(BI18))</f>
        <v>0.68693689993398444</v>
      </c>
      <c r="BW18" t="s">
        <v>93</v>
      </c>
      <c r="BX18">
        <f t="array" ref="BX18:BZ20">MINVERSE(BS18:BU20)</f>
        <v>-0.69686935305157782</v>
      </c>
      <c r="BY18">
        <v>-0.14680043526047093</v>
      </c>
      <c r="BZ18">
        <v>0.70201334530392789</v>
      </c>
      <c r="CA18">
        <v>0</v>
      </c>
      <c r="CB18" s="1">
        <f t="array" ref="CB18:CB20">MMULT(BX18:BZ20,AX18:AX20)</f>
        <v>7.7495447820717658</v>
      </c>
      <c r="CD18" s="1">
        <f t="array" ref="CD18:CF18">TRANSPOSE(CB18:CB20)</f>
        <v>7.7495447820717658</v>
      </c>
      <c r="CE18" s="1">
        <v>-21.653087405407163</v>
      </c>
      <c r="CF18" s="1">
        <v>13.929245368118762</v>
      </c>
      <c r="CH18">
        <f t="array" ref="CH18:CK21">MMULT(BX18:CA21,AQ18:AT21)</f>
        <v>-0.75440069507778884</v>
      </c>
      <c r="CI18">
        <v>0.18963160191223144</v>
      </c>
      <c r="CJ18">
        <v>0.60024561283755073</v>
      </c>
      <c r="CK18">
        <v>-4.6499913182411534E-2</v>
      </c>
      <c r="CM18">
        <f t="array" ref="CM18:CP21">TRANSPOSE(BX18:CA21)</f>
        <v>-0.69686935305157782</v>
      </c>
      <c r="CN18">
        <v>-0.2061329674907981</v>
      </c>
      <c r="CO18">
        <v>0.68693689993398444</v>
      </c>
      <c r="CP18">
        <v>0</v>
      </c>
      <c r="CR18" s="5">
        <f t="array" ref="CR18:CU21">MMULT(CH18:CK21,CM18:CP21)</f>
        <v>0.9192611532927587</v>
      </c>
      <c r="CS18" s="5">
        <v>0.34106592575534855</v>
      </c>
      <c r="CT18" s="5">
        <v>-6.3311256849719555E-2</v>
      </c>
      <c r="CU18" s="5">
        <v>-4.6499913182411534E-2</v>
      </c>
      <c r="CW18" s="3">
        <f>SQRT(CR18+CS19)</f>
        <v>1.2443915224080184</v>
      </c>
      <c r="CX18" s="3">
        <f>CT20</f>
        <v>3.6157102314939547</v>
      </c>
      <c r="CY18" s="3">
        <f>CU21</f>
        <v>1.7816880275130376</v>
      </c>
      <c r="CZ18" s="3">
        <f>BD25</f>
        <v>5.0229362962591653</v>
      </c>
      <c r="DA18">
        <v>6</v>
      </c>
      <c r="DB18" s="6">
        <f>CY18*DA18*CZ18</f>
        <v>53.695832772033803</v>
      </c>
      <c r="DC18">
        <v>5.33</v>
      </c>
      <c r="DD18" s="6">
        <f>CZ18*DC18*SQRT(0.5*(CR18+CS19)+SQRT((0.5*(CR18-CS19))^2+CS18^2))</f>
        <v>28.645887626713559</v>
      </c>
    </row>
    <row r="19" spans="1:108">
      <c r="A19">
        <v>4</v>
      </c>
      <c r="B19">
        <f t="shared" si="3"/>
        <v>0.28333333333333333</v>
      </c>
      <c r="C19">
        <v>23</v>
      </c>
      <c r="D19">
        <v>20893000.592999998</v>
      </c>
      <c r="E19">
        <v>109793456.44049001</v>
      </c>
      <c r="F19">
        <v>-1752.6079999999999</v>
      </c>
      <c r="G19">
        <v>20892996.927000001</v>
      </c>
      <c r="H19">
        <v>85553329.351469994</v>
      </c>
      <c r="J19" s="5">
        <f>'sv23'!$AA$3+'sv23'!$Z$3*($B19)+'sv23'!$Y$3*($B19)^2+'sv23'!$X$3*($B19)^3+'sv23'!$W$3*($B19)^4+'sv23'!$V$3*($B19)^5+'sv23'!$U$3*($B19)^6+'sv23'!$T$3*($B19)^7+'sv23'!$S$3*($B19)^8</f>
        <v>9618.8567415133184</v>
      </c>
      <c r="K19" s="5">
        <f>'sv23'!$AA$4+'sv23'!$Z$4*($B19)+'sv23'!$Y$4*($B19)^2+'sv23'!$X$4*($B19)^3+'sv23'!$W$4*($B19)^4+'sv23'!$V$4*($B19)^5+'sv23'!$U$4*($B19)^6+'sv23'!$T$4*($B19)^7+'sv23'!$S$4*($B19)^8</f>
        <v>11769.014843668674</v>
      </c>
      <c r="L19" s="5">
        <f>'sv23'!$AA$5+'sv23'!$Z$5*($B19)+'sv23'!$Y$5*($B19)^2+'sv23'!$X$5*($B19)^3+'sv23'!$W$5*($B19)^4+'sv23'!$V$5*($B19)^5+'sv23'!$U$5*($B19)^6+'sv23'!$T$5*($B19)^7+'sv23'!$S$5*($B19)^8</f>
        <v>21730.420918310836</v>
      </c>
      <c r="M19" s="5">
        <f>'sv23'!$AA$6+'sv23'!$Z$6*$B19+'sv23'!$Y$6*$B19^2+'sv23'!$X$6*$B19^3+'sv23'!$W$6*$B19^4+'sv23'!$V$6*$B19^5+'sv23'!$U$6*$B19^6+'sv23'!$T$6*$B19^7+'sv23'!$S$6*$B19^8</f>
        <v>370.05749217799814</v>
      </c>
      <c r="O19">
        <f>SQRT(($J19*1000-coord!$B$2)^2+($K19*1000-coord!$C$2)^2+($L19*1000-coord!$D$2)^2)/coord!$B$6</f>
        <v>7.0061754872251872E-2</v>
      </c>
      <c r="Q19" s="5">
        <f>'sv23'!$AA$3+'sv23'!$Z$3*($B19-$O19/3600)+'sv23'!$Y$3*($B19-$O19/3600)^2+'sv23'!$X$3*($B19-$O19/3600)^3+'sv23'!$W$3*($B19-$O19/3600)^4+'sv23'!$V$3*($B19-$O19/3600)^5+'sv23'!$U$3*($B19-$O19/3600)^6+'sv23'!$T$3*($B19-$O19/3600)^7+'sv23'!$S$3*($B19-$O19/3600)^8+K19*coord!$B$7*O19</f>
        <v>9619.0451662603573</v>
      </c>
      <c r="R19" s="5">
        <f>'sv23'!$AA$4+'sv23'!$Z$4*($B19-$O19/3600)+'sv23'!$Y$4*($B19-$O19/3600)^2+'sv23'!$X$4*($B19-$O19/3600)^3+'sv23'!$W$4*($B19-$O19/3600)^4+'sv23'!$V$4*($B19-$O19/3600)^5+'sv23'!$U$4*($B19-$O19/3600)^6+'sv23'!$T$4*($B19-$O19/3600)^7+'sv23'!$S$4*($B19-$O19/3600)^8-J19*coord!$B$7*O19</f>
        <v>11768.820395955368</v>
      </c>
      <c r="S19" s="5">
        <f>'sv23'!$AA$5+'sv23'!$Z$5*($B19-$O19/3600)+'sv23'!$Y$5*($B19-$O19/3600)^2+'sv23'!$X$5*($B19-$O19/3600)^3+'sv23'!$W$5*($B19-$O19/3600)^4+'sv23'!$V$5*($B19-$O19/3600)^5+'sv23'!$U$5*($B19-$O19/3600)^6+'sv23'!$T$5*($B19-$O19/3600)^7+'sv23'!$S$5*($B19-$O19/3600)^8</f>
        <v>21730.444968422467</v>
      </c>
      <c r="T19">
        <f>coord!$B$6*M19/10^6</f>
        <v>110940.44518135783</v>
      </c>
      <c r="U19">
        <f>SQRT(($Q19*1000+coord!$B$7*$O19*$R19*1000-coord!$B$2)^2+($R19*1000-coord!$B$7*$O19*$Q19*1000-coord!$C$2)^2+($S19*1000-coord!$D$2)^2)</f>
        <v>21003941.536624104</v>
      </c>
      <c r="V19" s="3">
        <f>$D19-(U19-$T19)-coord!$E$2</f>
        <v>-0.49844274669885635</v>
      </c>
      <c r="W19" s="3"/>
      <c r="Y19">
        <f>-(Q19*1000-coord!$B$2)/$U19</f>
        <v>-0.2490088341914603</v>
      </c>
      <c r="Z19">
        <f>-(R19*1000-coord!$C$2)/$U19</f>
        <v>-0.51629596111027509</v>
      </c>
      <c r="AA19">
        <f>-(S19*1000-coord!$D$2)/$U19</f>
        <v>-0.81941080744832029</v>
      </c>
      <c r="AB19">
        <v>1</v>
      </c>
      <c r="AD19">
        <v>0.68271194010168312</v>
      </c>
      <c r="AE19">
        <v>-0.51629596111027509</v>
      </c>
      <c r="AF19">
        <v>0.81002019543010417</v>
      </c>
      <c r="AG19">
        <v>0.39298697255122622</v>
      </c>
      <c r="AH19">
        <v>-0.89441189052219916</v>
      </c>
      <c r="AI19">
        <v>-0.14293375596515456</v>
      </c>
      <c r="AJ19">
        <v>-0.2438425442055146</v>
      </c>
      <c r="AL19">
        <v>0.37604077848495032</v>
      </c>
      <c r="AM19">
        <v>2.4230904650822085</v>
      </c>
      <c r="AN19">
        <v>-0.53062715069798816</v>
      </c>
      <c r="AO19">
        <v>8.8234956279870158E-2</v>
      </c>
      <c r="AQ19">
        <v>-0.1540259838477516</v>
      </c>
      <c r="AR19">
        <v>0.48322639444973758</v>
      </c>
      <c r="AS19">
        <v>0.21827713141741636</v>
      </c>
      <c r="AT19">
        <v>3.2215738888600187E-2</v>
      </c>
      <c r="AV19">
        <v>-53.520684957079901</v>
      </c>
      <c r="AX19">
        <v>-20.310027489397214</v>
      </c>
      <c r="BA19">
        <f>SQRT(($Q19*1000+coord!$B$7*$O19*$R19*1000-coord!$B$2-AX$18)^2+($R19*1000-coord!$B$7*$O19*$Q19*1000-coord!$C$2-AX$19)^2+($S19*1000-coord!$D$2-AX$20)^2)</f>
        <v>21003937.286928117</v>
      </c>
      <c r="BB19" s="3">
        <f t="shared" ref="BB19:BB24" si="4">$D19-(BA19-$T19)-AX$21</f>
        <v>-3.0157132198166607</v>
      </c>
      <c r="BD19" s="1"/>
      <c r="BE19" s="1"/>
      <c r="BF19" s="1"/>
      <c r="BS19">
        <f>-SIN(RADIANS(BH18))*SIN(RADIANS(BI18))</f>
        <v>-0.1468004352604709</v>
      </c>
      <c r="BT19">
        <f>COS(RADIANS(BI18))</f>
        <v>0.97852399036172721</v>
      </c>
      <c r="BU19">
        <f>COS(RADIANS(BH18))*SIN(RADIANS(BI18))</f>
        <v>0.14470809408564095</v>
      </c>
      <c r="BW19" t="s">
        <v>94</v>
      </c>
      <c r="BX19">
        <v>-0.2061329674907981</v>
      </c>
      <c r="BY19">
        <v>0.97852399036172721</v>
      </c>
      <c r="BZ19">
        <v>0</v>
      </c>
      <c r="CA19">
        <v>0</v>
      </c>
      <c r="CB19" s="1">
        <v>-21.653087405407163</v>
      </c>
      <c r="CD19" s="1"/>
      <c r="CE19" s="1"/>
      <c r="CF19" s="1"/>
      <c r="CH19">
        <v>-0.65728164576661063</v>
      </c>
      <c r="CI19">
        <v>0.5045984528662939</v>
      </c>
      <c r="CJ19">
        <v>-6.1107438023989741E-2</v>
      </c>
      <c r="CK19">
        <v>-0.3334763758217541</v>
      </c>
      <c r="CM19">
        <v>-0.14680043526047093</v>
      </c>
      <c r="CN19">
        <v>0.97852399036172721</v>
      </c>
      <c r="CO19">
        <v>0.14470809408564095</v>
      </c>
      <c r="CP19">
        <v>0</v>
      </c>
      <c r="CR19" s="5">
        <v>0.34106592575534866</v>
      </c>
      <c r="CS19" s="5">
        <v>0.62924910774818688</v>
      </c>
      <c r="CT19" s="5">
        <v>-0.42201004036081313</v>
      </c>
      <c r="CU19" s="5">
        <v>-0.3334763758217541</v>
      </c>
    </row>
    <row r="20" spans="1:108">
      <c r="A20">
        <v>4</v>
      </c>
      <c r="B20">
        <f t="shared" si="3"/>
        <v>0.28333333333333333</v>
      </c>
      <c r="C20">
        <v>10</v>
      </c>
      <c r="D20">
        <v>23276694.951000001</v>
      </c>
      <c r="E20">
        <v>122319853.34148</v>
      </c>
      <c r="F20">
        <v>3115.933</v>
      </c>
      <c r="G20">
        <v>23276694.234999999</v>
      </c>
      <c r="H20">
        <v>95314174.289450005</v>
      </c>
      <c r="J20" s="5">
        <f>'sv10'!$AA$3+'sv10'!$Z$3*($B20)+'sv10'!$Y$3*($B20)^2+'sv10'!$X$3*($B20)^3+'sv10'!$W$3*($B20)^4+'sv10'!$V$3*($B20)^5+'sv10'!$U$3*($B20)^6+'sv10'!$T$3*($B20)^7+'sv10'!$S$3*($B20)^8</f>
        <v>7326.144070368975</v>
      </c>
      <c r="K20" s="5">
        <f>'sv10'!$AA$4+'sv10'!$Z$4*($B20)+'sv10'!$Y$4*($B20)^2+'sv10'!$X$4*($B20)^3+'sv10'!$W$4*($B20)^4+'sv10'!$V$4*($B20)^5+'sv10'!$U$4*($B20)^6+'sv10'!$T$4*($B20)^7+'sv10'!$S$4*($B20)^8</f>
        <v>-17919.38548833922</v>
      </c>
      <c r="L20" s="5">
        <f>'sv10'!$AA$5+'sv10'!$Z$5*($B20)+'sv10'!$Y$5*($B20)^2+'sv10'!$X$5*($B20)^3+'sv10'!$W$5*($B20)^4+'sv10'!$V$5*($B20)^5+'sv10'!$U$5*($B20)^6+'sv10'!$T$5*($B20)^7+'sv10'!$S$5*($B20)^8</f>
        <v>17841.711986809361</v>
      </c>
      <c r="M20" s="5">
        <f>'sv10'!$AA$6+'sv10'!$Z$6*$B20+'sv10'!$Y$6*$B20^2+'sv10'!$X$6*$B20^3+'sv10'!$W$6*$B20^4+'sv10'!$V$6*$B20^5+'sv10'!$U$6*$B20^6+'sv10'!$T$6*$B20^7+'sv10'!$S$6*$B20^8</f>
        <v>-43.000632997771895</v>
      </c>
      <c r="O20">
        <f>SQRT(($J20*1000-coord!$B$2)^2+($K20*1000-coord!$C$2)^2+($L20*1000-coord!$D$2)^2)/coord!$B$6</f>
        <v>7.7599453648667965E-2</v>
      </c>
      <c r="Q20" s="5">
        <f>'sv10'!$AA$3+'sv10'!$Z$3*($B20-$O20/3600)+'sv10'!$Y$3*($B20-$O20/3600)^2+'sv10'!$X$3*($B20-$O20/3600)^3+'sv10'!$W$3*($B20-$O20/3600)^4+'sv10'!$V$3*($B20-$O20/3600)^5+'sv10'!$U$3*($B20-$O20/3600)^6+'sv10'!$T$3*($B20-$O20/3600)^7+'sv10'!$S$3*($B20-$O20/3600)^8+K20*coord!$B$7*O20</f>
        <v>7325.9709323160187</v>
      </c>
      <c r="R20" s="5">
        <f>'sv10'!$AA$4+'sv10'!$Z$4*($B20-$O20/3600)+'sv10'!$Y$4*($B20-$O20/3600)^2+'sv10'!$X$4*($B20-$O20/3600)^3+'sv10'!$W$4*($B20-$O20/3600)^4+'sv10'!$V$4*($B20-$O20/3600)^5+'sv10'!$U$4*($B20-$O20/3600)^6+'sv10'!$T$4*($B20-$O20/3600)^7+'sv10'!$S$4*($B20-$O20/3600)^8-J20*coord!$B$7*O20</f>
        <v>-17919.592604188427</v>
      </c>
      <c r="S20" s="5">
        <f>'sv10'!$AA$5+'sv10'!$Z$5*($B20-$O20/3600)+'sv10'!$Y$5*($B20-$O20/3600)^2+'sv10'!$X$5*($B20-$O20/3600)^3+'sv10'!$W$5*($B20-$O20/3600)^4+'sv10'!$V$5*($B20-$O20/3600)^5+'sv10'!$U$5*($B20-$O20/3600)^6+'sv10'!$T$5*($B20-$O20/3600)^7+'sv10'!$S$5*($B20-$O20/3600)^8</f>
        <v>17841.573818317418</v>
      </c>
      <c r="T20">
        <f>coord!$B$6*M20/10^6</f>
        <v>-12891.265461957944</v>
      </c>
      <c r="U20">
        <f>SQRT(($Q20*1000+coord!$B$7*$O20*$R20*1000-coord!$B$2)^2+($R20*1000-coord!$B$7*$O20*$Q20*1000-coord!$C$2)^2+($S20*1000-coord!$D$2)^2)</f>
        <v>23263818.511811994</v>
      </c>
      <c r="V20" s="3">
        <f>$D20-(U20-$T20)-coord!$E$2</f>
        <v>-14.826273951679468</v>
      </c>
      <c r="W20" s="3"/>
      <c r="Y20">
        <f>-(Q20*1000-coord!$B$2)/$U20</f>
        <v>-0.12625153347137469</v>
      </c>
      <c r="Z20">
        <f>-(R20*1000-coord!$C$2)/$U20</f>
        <v>0.81002019543010417</v>
      </c>
      <c r="AA20">
        <f>-(S20*1000-coord!$D$2)/$U20</f>
        <v>-0.57264827514250505</v>
      </c>
      <c r="AB20">
        <v>1</v>
      </c>
      <c r="AD20">
        <v>-0.72773091219087926</v>
      </c>
      <c r="AE20">
        <v>-0.81941080744832029</v>
      </c>
      <c r="AF20">
        <v>-0.57264827514250505</v>
      </c>
      <c r="AG20">
        <v>-0.4944568316388655</v>
      </c>
      <c r="AH20">
        <v>-0.12013656836104596</v>
      </c>
      <c r="AI20">
        <v>-0.82272888602605587</v>
      </c>
      <c r="AJ20">
        <v>9.73193672986499E-2</v>
      </c>
      <c r="AL20">
        <v>1.1179559277064315</v>
      </c>
      <c r="AM20">
        <v>-0.53062715069798816</v>
      </c>
      <c r="AN20">
        <v>2.4742266315099615</v>
      </c>
      <c r="AO20">
        <v>-3.459792913509022</v>
      </c>
      <c r="AQ20">
        <v>1.3326196726660611</v>
      </c>
      <c r="AR20">
        <v>0.21827713141741642</v>
      </c>
      <c r="AS20">
        <v>2.2235340828397554</v>
      </c>
      <c r="AT20">
        <v>1.6982269404100712</v>
      </c>
      <c r="AV20">
        <v>35.018980698965585</v>
      </c>
      <c r="AX20">
        <v>15.360188022694643</v>
      </c>
      <c r="BA20">
        <f>SQRT(($Q20*1000+coord!$B$7*$O20*$R20*1000-coord!$B$2-AX$18)^2+($R20*1000-coord!$B$7*$O20*$Q20*1000-coord!$C$2-AX$19)^2+($S20*1000-coord!$D$2-AX$20)^2)</f>
        <v>23263792.17455538</v>
      </c>
      <c r="BB20" s="3">
        <f t="shared" si="4"/>
        <v>4.7440162028122188</v>
      </c>
      <c r="BD20" s="1"/>
      <c r="BE20" s="1"/>
      <c r="BF20" s="1"/>
      <c r="BS20">
        <f>COS(RADIANS(BH18))</f>
        <v>0.70201334530392767</v>
      </c>
      <c r="BT20">
        <v>0</v>
      </c>
      <c r="BU20">
        <f>SIN(RADIANS(BH18))</f>
        <v>0.71216378945800685</v>
      </c>
      <c r="BW20" t="s">
        <v>95</v>
      </c>
      <c r="BX20">
        <v>0.68693689993398444</v>
      </c>
      <c r="BY20">
        <v>0.14470809408564095</v>
      </c>
      <c r="BZ20">
        <v>0.71216378945800685</v>
      </c>
      <c r="CA20">
        <v>0</v>
      </c>
      <c r="CB20" s="1">
        <v>13.929245368118762</v>
      </c>
      <c r="CD20" s="1"/>
      <c r="CE20" s="1"/>
      <c r="CF20" s="1"/>
      <c r="CH20">
        <v>2.6148746340142792</v>
      </c>
      <c r="CI20">
        <v>0.11956970776129194</v>
      </c>
      <c r="CJ20">
        <v>2.530532552826354</v>
      </c>
      <c r="CK20">
        <v>2.4304387918078221</v>
      </c>
      <c r="CM20">
        <v>0.70201334530392789</v>
      </c>
      <c r="CN20">
        <v>0</v>
      </c>
      <c r="CO20">
        <v>0.71216378945800685</v>
      </c>
      <c r="CP20">
        <v>0</v>
      </c>
      <c r="CR20" s="5">
        <v>-6.3311256849719388E-2</v>
      </c>
      <c r="CS20" s="5">
        <v>-0.42201004036081308</v>
      </c>
      <c r="CT20" s="5">
        <v>3.6157102314939547</v>
      </c>
      <c r="CU20" s="5">
        <v>2.4304387918078221</v>
      </c>
    </row>
    <row r="21" spans="1:108">
      <c r="A21">
        <v>4</v>
      </c>
      <c r="B21">
        <f t="shared" si="3"/>
        <v>0.28333333333333333</v>
      </c>
      <c r="C21">
        <v>4</v>
      </c>
      <c r="D21">
        <v>21064691.385000002</v>
      </c>
      <c r="E21">
        <v>110695699.45749</v>
      </c>
      <c r="F21">
        <v>-578.64700000000005</v>
      </c>
      <c r="G21">
        <v>21064690.888999999</v>
      </c>
      <c r="H21">
        <v>86256386.26647</v>
      </c>
      <c r="J21" s="5">
        <f>'sv04'!$AA$3+'sv04'!$Z$3*($B21)+'sv04'!$Y$3*($B21)^2+'sv04'!$X$3*($B21)^3+'sv04'!$W$3*($B21)^4+'sv04'!$V$3*($B21)^5+'sv04'!$U$3*($B21)^6+'sv04'!$T$3*($B21)^7+'sv04'!$S$3*($B21)^8</f>
        <v>20740.39760412155</v>
      </c>
      <c r="K21" s="5">
        <f>'sv04'!$AA$4+'sv04'!$Z$4*($B21)+'sv04'!$Y$4*($B21)^2+'sv04'!$X$4*($B21)^3+'sv04'!$W$4*($B21)^4+'sv04'!$V$4*($B21)^5+'sv04'!$U$4*($B21)^6+'sv04'!$T$4*($B21)^7+'sv04'!$S$4*($B21)^8</f>
        <v>-7363.639080106931</v>
      </c>
      <c r="L21" s="5">
        <f>'sv04'!$AA$5+'sv04'!$Z$5*($B21)+'sv04'!$Y$5*($B21)^2+'sv04'!$X$5*($B21)^3+'sv04'!$W$5*($B21)^4+'sv04'!$V$5*($B21)^5+'sv04'!$U$5*($B21)^6+'sv04'!$T$5*($B21)^7+'sv04'!$S$5*($B21)^8</f>
        <v>14947.854407665878</v>
      </c>
      <c r="M21" s="5">
        <f>'sv04'!$AA$6+'sv04'!$Z$6*$B21+'sv04'!$Y$6*$B21^2+'sv04'!$X$6*$B21^3+'sv04'!$W$6*$B21^4+'sv04'!$V$6*$B21^5+'sv04'!$U$6*$B21^6+'sv04'!$T$6*$B21^7+'sv04'!$S$6*$B21^8</f>
        <v>86.595854647334207</v>
      </c>
      <c r="O21">
        <f>SQRT(($J21*1000-coord!$B$2)^2+($K21*1000-coord!$C$2)^2+($L21*1000-coord!$D$2)^2)/coord!$B$6</f>
        <v>7.0350821466912378E-2</v>
      </c>
      <c r="Q21" s="5">
        <f>'sv04'!$AA$3+'sv04'!$Z$3*($B21-$O21/3600)+'sv04'!$Y$3*($B21-$O21/3600)^2+'sv04'!$X$3*($B21-$O21/3600)^3+'sv04'!$W$3*($B21-$O21/3600)^4+'sv04'!$V$3*($B21-$O21/3600)^5+'sv04'!$U$3*($B21-$O21/3600)^6+'sv04'!$T$3*($B21-$O21/3600)^7+'sv04'!$S$3*($B21-$O21/3600)^8+K21*coord!$B$7*O21</f>
        <v>20740.229843189358</v>
      </c>
      <c r="R21" s="5">
        <f>'sv04'!$AA$4+'sv04'!$Z$4*($B21-$O21/3600)+'sv04'!$Y$4*($B21-$O21/3600)^2+'sv04'!$X$4*($B21-$O21/3600)^3+'sv04'!$W$4*($B21-$O21/3600)^4+'sv04'!$V$4*($B21-$O21/3600)^5+'sv04'!$U$4*($B21-$O21/3600)^6+'sv04'!$T$4*($B21-$O21/3600)^7+'sv04'!$S$4*($B21-$O21/3600)^8-J21*coord!$B$7*O21</f>
        <v>-7363.7855854614581</v>
      </c>
      <c r="S21" s="5">
        <f>'sv04'!$AA$5+'sv04'!$Z$5*($B21-$O21/3600)+'sv04'!$Y$5*($B21-$O21/3600)^2+'sv04'!$X$5*($B21-$O21/3600)^3+'sv04'!$W$5*($B21-$O21/3600)^4+'sv04'!$V$5*($B21-$O21/3600)^5+'sv04'!$U$5*($B21-$O21/3600)^6+'sv04'!$T$5*($B21-$O21/3600)^7+'sv04'!$S$5*($B21-$O21/3600)^8</f>
        <v>14948.010674911649</v>
      </c>
      <c r="T21">
        <f>coord!$B$6*M21/10^6</f>
        <v>25960.784117335046</v>
      </c>
      <c r="U21">
        <f>SQRT(($Q21*1000+coord!$B$7*$O21*$R21*1000-coord!$B$2)^2+($R21*1000-coord!$B$7*$O21*$Q21*1000-coord!$C$2)^2+($S21*1000-coord!$D$2)^2)</f>
        <v>21090662.992858022</v>
      </c>
      <c r="V21" s="3">
        <f>$D21-(U21-$T21)-coord!$E$2</f>
        <v>-10.823740687221289</v>
      </c>
      <c r="W21" s="3"/>
      <c r="Y21">
        <f>-(Q21*1000-coord!$B$2)/$U21</f>
        <v>-0.77528865156711535</v>
      </c>
      <c r="Z21">
        <f>-(R21*1000-coord!$C$2)/$U21</f>
        <v>0.39298697255122622</v>
      </c>
      <c r="AA21">
        <f>-(S21*1000-coord!$D$2)/$U21</f>
        <v>-0.4944568316388655</v>
      </c>
      <c r="AB21">
        <v>1</v>
      </c>
      <c r="AD21">
        <v>1</v>
      </c>
      <c r="AE21">
        <v>1</v>
      </c>
      <c r="AF21">
        <v>1</v>
      </c>
      <c r="AG21">
        <v>1</v>
      </c>
      <c r="AH21">
        <v>1</v>
      </c>
      <c r="AI21">
        <v>1</v>
      </c>
      <c r="AJ21">
        <v>1</v>
      </c>
      <c r="AL21">
        <v>-3.162103096401752</v>
      </c>
      <c r="AM21">
        <v>8.8234956279870158E-2</v>
      </c>
      <c r="AN21">
        <v>-3.459792913509022</v>
      </c>
      <c r="AO21">
        <v>7</v>
      </c>
      <c r="AQ21">
        <v>1.7707029284763602</v>
      </c>
      <c r="AR21">
        <v>3.221573888860025E-2</v>
      </c>
      <c r="AS21">
        <v>1.6982269404100712</v>
      </c>
      <c r="AT21">
        <v>1.7816880275130376</v>
      </c>
      <c r="AV21">
        <v>-34.860075544565916</v>
      </c>
      <c r="AX21">
        <v>6.7669664596271275</v>
      </c>
      <c r="BA21">
        <f>SQRT(($Q21*1000+coord!$B$7*$O21*$R21*1000-coord!$B$2-AX$18)^2+($R21*1000-coord!$B$7*$O21*$Q21*1000-coord!$C$2-AX$19)^2+($S21*1000-coord!$D$2-AX$20)^2)</f>
        <v>21090640.724340446</v>
      </c>
      <c r="BB21" s="3">
        <f t="shared" si="4"/>
        <v>4.6778104293096305</v>
      </c>
      <c r="BD21" s="1"/>
      <c r="BE21" s="1"/>
      <c r="BF21" s="1"/>
      <c r="BX21">
        <v>0</v>
      </c>
      <c r="BY21">
        <v>0</v>
      </c>
      <c r="BZ21">
        <v>0</v>
      </c>
      <c r="CA21">
        <v>1</v>
      </c>
      <c r="CD21" s="1"/>
      <c r="CE21" s="1"/>
      <c r="CF21" s="1"/>
      <c r="CH21">
        <v>1.7707029284763602</v>
      </c>
      <c r="CI21">
        <v>3.221573888860025E-2</v>
      </c>
      <c r="CJ21">
        <v>1.6982269404100712</v>
      </c>
      <c r="CK21">
        <v>1.7816880275130376</v>
      </c>
      <c r="CM21">
        <v>0</v>
      </c>
      <c r="CN21">
        <v>0</v>
      </c>
      <c r="CO21">
        <v>0</v>
      </c>
      <c r="CP21">
        <v>1</v>
      </c>
      <c r="CR21" s="5">
        <v>-4.6499913182411312E-2</v>
      </c>
      <c r="CS21" s="5">
        <v>-0.33347637582175393</v>
      </c>
      <c r="CT21" s="5">
        <v>2.4304387918078216</v>
      </c>
      <c r="CU21" s="5">
        <v>1.7816880275130376</v>
      </c>
    </row>
    <row r="22" spans="1:108">
      <c r="A22">
        <v>4</v>
      </c>
      <c r="B22">
        <f t="shared" si="3"/>
        <v>0.28333333333333333</v>
      </c>
      <c r="C22">
        <v>20</v>
      </c>
      <c r="D22">
        <v>22701498.283</v>
      </c>
      <c r="E22">
        <v>119297178.26248001</v>
      </c>
      <c r="F22">
        <v>-2917.7759999999998</v>
      </c>
      <c r="G22">
        <v>22701497.478999998</v>
      </c>
      <c r="H22">
        <v>92958835.323459998</v>
      </c>
      <c r="J22" s="5">
        <f>'sv20'!$AA$3+'sv20'!$Z$3*($B22)+'sv20'!$Y$3*($B22)^2+'sv20'!$X$3*($B22)^3+'sv20'!$W$3*($B22)^4+'sv20'!$V$3*($B22)^5+'sv20'!$U$3*($B22)^6+'sv20'!$T$3*($B22)^7+'sv20'!$S$3*($B22)^8</f>
        <v>14175.969436801977</v>
      </c>
      <c r="K22" s="5">
        <f>'sv20'!$AA$4+'sv20'!$Z$4*($B22)+'sv20'!$Y$4*($B22)^2+'sv20'!$X$4*($B22)^3+'sv20'!$W$4*($B22)^4+'sv20'!$V$4*($B22)^5+'sv20'!$U$4*($B22)^6+'sv20'!$T$4*($B22)^7+'sv20'!$S$4*($B22)^8</f>
        <v>21244.159514391344</v>
      </c>
      <c r="L22" s="5">
        <f>'sv20'!$AA$5+'sv20'!$Z$5*($B22)+'sv20'!$Y$5*($B22)^2+'sv20'!$X$5*($B22)^3+'sv20'!$W$5*($B22)^4+'sv20'!$V$5*($B22)^5+'sv20'!$U$5*($B22)^6+'sv20'!$T$5*($B22)^7+'sv20'!$S$5*($B22)^8</f>
        <v>7248.6534014230538</v>
      </c>
      <c r="M22" s="5">
        <f>'sv20'!$AA$6+'sv20'!$Z$6*$B22+'sv20'!$Y$6*$B22^2+'sv20'!$X$6*$B22^3+'sv20'!$W$6*$B22^4+'sv20'!$V$6*$B22^5+'sv20'!$U$6*$B22^6+'sv20'!$T$6*$B22^7+'sv20'!$S$6*$B22^8</f>
        <v>55.818198606297216</v>
      </c>
      <c r="O22">
        <f>SQRT(($J22*1000-coord!$B$2)^2+($K22*1000-coord!$C$2)^2+($L22*1000-coord!$D$2)^2)/coord!$B$6</f>
        <v>7.5780055602417212E-2</v>
      </c>
      <c r="Q22" s="5">
        <f>'sv20'!$AA$3+'sv20'!$Z$3*($B22-$O22/3600)+'sv20'!$Y$3*($B22-$O22/3600)^2+'sv20'!$X$3*($B22-$O22/3600)^3+'sv20'!$W$3*($B22-$O22/3600)^4+'sv20'!$V$3*($B22-$O22/3600)^5+'sv20'!$U$3*($B22-$O22/3600)^6+'sv20'!$T$3*($B22-$O22/3600)^7+'sv20'!$S$3*($B22-$O22/3600)^8+K22*coord!$B$7*O22</f>
        <v>14176.083943355216</v>
      </c>
      <c r="R22" s="5">
        <f>'sv20'!$AA$4+'sv20'!$Z$4*($B22-$O22/3600)+'sv20'!$Y$4*($B22-$O22/3600)^2+'sv20'!$X$4*($B22-$O22/3600)^3+'sv20'!$W$4*($B22-$O22/3600)^4+'sv20'!$V$4*($B22-$O22/3600)^5+'sv20'!$U$4*($B22-$O22/3600)^6+'sv20'!$T$4*($B22-$O22/3600)^7+'sv20'!$S$4*($B22-$O22/3600)^8-J22*coord!$B$7*O22</f>
        <v>21244.005650038554</v>
      </c>
      <c r="S22" s="5">
        <f>'sv20'!$AA$5+'sv20'!$Z$5*($B22-$O22/3600)+'sv20'!$Y$5*($B22-$O22/3600)^2+'sv20'!$X$5*($B22-$O22/3600)^3+'sv20'!$W$5*($B22-$O22/3600)^4+'sv20'!$V$5*($B22-$O22/3600)^5+'sv20'!$U$5*($B22-$O22/3600)^6+'sv20'!$T$5*($B22-$O22/3600)^7+'sv20'!$S$5*($B22-$O22/3600)^8</f>
        <v>7248.8758321726746</v>
      </c>
      <c r="T22">
        <f>coord!$B$6*M22/10^6</f>
        <v>16733.874961314017</v>
      </c>
      <c r="U22">
        <f>SQRT(($Q22*1000+coord!$B$7*$O22*$R22*1000-coord!$B$2)^2+($R22*1000-coord!$B$7*$O22*$Q22*1000-coord!$C$2)^2+($S22*1000-coord!$D$2)^2)</f>
        <v>22718208.078579016</v>
      </c>
      <c r="V22" s="3">
        <f>$D22-(U22-$T22)-coord!$E$2</f>
        <v>24.079382296651602</v>
      </c>
      <c r="W22" s="3"/>
      <c r="Y22">
        <f>-(Q22*1000-coord!$B$2)/$U22</f>
        <v>-0.43080887976299354</v>
      </c>
      <c r="Z22">
        <f>-(R22*1000-coord!$C$2)/$U22</f>
        <v>-0.89441189052219916</v>
      </c>
      <c r="AA22">
        <f>-(S22*1000-coord!$D$2)/$U22</f>
        <v>-0.12013656836104596</v>
      </c>
      <c r="AB22">
        <v>1</v>
      </c>
      <c r="BA22">
        <f>SQRT(($Q22*1000+coord!$B$7*$O22*$R22*1000-coord!$B$2-AX$18)^2+($R22*1000-coord!$B$7*$O22*$Q22*1000-coord!$C$2-AX$19)^2+($S22*1000-coord!$D$2-AX$20)^2)</f>
        <v>22718220.68015651</v>
      </c>
      <c r="BB22" s="3">
        <f t="shared" si="4"/>
        <v>4.710838342731023</v>
      </c>
      <c r="BD22" s="1"/>
      <c r="BE22" s="1"/>
      <c r="BF22" s="1"/>
      <c r="CD22" s="1"/>
      <c r="CE22" s="1"/>
      <c r="CF22" s="1"/>
    </row>
    <row r="23" spans="1:108">
      <c r="A23">
        <v>4</v>
      </c>
      <c r="B23">
        <f t="shared" si="3"/>
        <v>0.28333333333333333</v>
      </c>
      <c r="C23">
        <v>13</v>
      </c>
      <c r="D23">
        <v>20072788.517000001</v>
      </c>
      <c r="E23">
        <v>105483215.11149</v>
      </c>
      <c r="F23">
        <v>-417.137</v>
      </c>
      <c r="G23">
        <v>20072786.659000002</v>
      </c>
      <c r="H23">
        <v>82194705.198479995</v>
      </c>
      <c r="J23" s="5">
        <f>'sv13'!$AA$3+'sv13'!$Z$3*($B23)+'sv13'!$Y$3*($B23)^2+'sv13'!$X$3*($B23)^3+'sv13'!$W$3*($B23)^4+'sv13'!$V$3*($B23)^5+'sv13'!$U$3*($B23)^6+'sv13'!$T$3*($B23)^7+'sv13'!$S$3*($B23)^8</f>
        <v>15482.365178380924</v>
      </c>
      <c r="K23" s="5">
        <f>'sv13'!$AA$4+'sv13'!$Z$4*($B23)+'sv13'!$Y$4*($B23)^2+'sv13'!$X$4*($B23)^3+'sv13'!$W$4*($B23)^4+'sv13'!$V$4*($B23)^5+'sv13'!$U$4*($B23)^6+'sv13'!$T$4*($B23)^7+'sv13'!$S$4*($B23)^8</f>
        <v>3806.8953767522762</v>
      </c>
      <c r="L23" s="5">
        <f>'sv13'!$AA$5+'sv13'!$Z$5*($B23)+'sv13'!$Y$5*($B23)^2+'sv13'!$X$5*($B23)^3+'sv13'!$W$5*($B23)^4+'sv13'!$V$5*($B23)^5+'sv13'!$U$5*($B23)^6+'sv13'!$T$5*($B23)^7+'sv13'!$S$5*($B23)^8</f>
        <v>21109.15791779869</v>
      </c>
      <c r="M23" s="5">
        <f>'sv13'!$AA$6+'sv13'!$Z$6*$B23+'sv13'!$Y$6*$B23^2+'sv13'!$X$6*$B23^3+'sv13'!$W$6*$B23^4+'sv13'!$V$6*$B23^5+'sv13'!$U$6*$B23^6+'sv13'!$T$6*$B23^7+'sv13'!$S$6*$B23^8</f>
        <v>304.21960974363975</v>
      </c>
      <c r="O23">
        <f>SQRT(($J23*1000-coord!$B$2)^2+($K23*1000-coord!$C$2)^2+($L23*1000-coord!$D$2)^2)/coord!$B$6</f>
        <v>6.7259878820093169E-2</v>
      </c>
      <c r="Q23" s="5">
        <f>'sv13'!$AA$3+'sv13'!$Z$3*($B23-$O23/3600)+'sv13'!$Y$3*($B23-$O23/3600)^2+'sv13'!$X$3*($B23-$O23/3600)^3+'sv13'!$W$3*($B23-$O23/3600)^4+'sv13'!$V$3*($B23-$O23/3600)^5+'sv13'!$U$3*($B23-$O23/3600)^6+'sv13'!$T$3*($B23-$O23/3600)^7+'sv13'!$S$3*($B23-$O23/3600)^8+K23*coord!$B$7*O23</f>
        <v>15482.507645771158</v>
      </c>
      <c r="R23" s="5">
        <f>'sv13'!$AA$4+'sv13'!$Z$4*($B23-$O23/3600)+'sv13'!$Y$4*($B23-$O23/3600)^2+'sv13'!$X$4*($B23-$O23/3600)^3+'sv13'!$W$4*($B23-$O23/3600)^4+'sv13'!$V$4*($B23-$O23/3600)^5+'sv13'!$U$4*($B23-$O23/3600)^6+'sv13'!$T$4*($B23-$O23/3600)^7+'sv13'!$S$4*($B23-$O23/3600)^8-J23*coord!$B$7*O23</f>
        <v>3806.6861672521495</v>
      </c>
      <c r="S23" s="5">
        <f>'sv13'!$AA$5+'sv13'!$Z$5*($B23-$O23/3600)+'sv13'!$Y$5*($B23-$O23/3600)^2+'sv13'!$X$5*($B23-$O23/3600)^3+'sv13'!$W$5*($B23-$O23/3600)^4+'sv13'!$V$5*($B23-$O23/3600)^5+'sv13'!$U$5*($B23-$O23/3600)^6+'sv13'!$T$5*($B23-$O23/3600)^7+'sv13'!$S$5*($B23-$O23/3600)^8</f>
        <v>21109.091798249348</v>
      </c>
      <c r="T23">
        <f>coord!$B$6*M23/10^6</f>
        <v>91202.744576846511</v>
      </c>
      <c r="U23">
        <f>SQRT(($Q23*1000+coord!$B$7*$O23*$R23*1000-coord!$B$2)^2+($R23*1000-coord!$B$7*$O23*$Q23*1000-coord!$C$2)^2+($S23*1000-coord!$D$2)^2)</f>
        <v>20163997.892525628</v>
      </c>
      <c r="V23" s="3">
        <f>$D23-(U23-$T23)-coord!$E$2</f>
        <v>-6.6309487819671631</v>
      </c>
      <c r="W23" s="3"/>
      <c r="Y23">
        <f>-(Q23*1000-coord!$B$2)/$U23</f>
        <v>-0.55017013660189551</v>
      </c>
      <c r="Z23">
        <f>-(R23*1000-coord!$C$2)/$U23</f>
        <v>-0.14293375596515456</v>
      </c>
      <c r="AA23">
        <f>-(S23*1000-coord!$D$2)/$U23</f>
        <v>-0.82272888602605587</v>
      </c>
      <c r="AB23">
        <v>1</v>
      </c>
      <c r="BA23">
        <f>SQRT(($Q23*1000+coord!$B$7*$O23*$R23*1000-coord!$B$2-AX$18)^2+($R23*1000-coord!$B$7*$O23*$Q23*1000-coord!$C$2-AX$19)^2+($S23*1000-coord!$D$2-AX$20)^2)</f>
        <v>20163983.409374326</v>
      </c>
      <c r="BB23" s="3">
        <f t="shared" si="4"/>
        <v>1.0852360601473094</v>
      </c>
      <c r="BD23" s="1"/>
      <c r="BE23" s="1"/>
      <c r="BF23" s="1"/>
      <c r="CD23" s="1"/>
      <c r="CE23" s="1"/>
      <c r="CF23" s="1"/>
      <c r="CG23" s="1"/>
    </row>
    <row r="24" spans="1:108">
      <c r="A24">
        <v>4</v>
      </c>
      <c r="B24">
        <f t="shared" si="3"/>
        <v>0.28333333333333333</v>
      </c>
      <c r="C24">
        <v>7</v>
      </c>
      <c r="D24">
        <v>22170062.537</v>
      </c>
      <c r="E24">
        <v>116504467.44349</v>
      </c>
      <c r="F24">
        <v>3102.46</v>
      </c>
      <c r="G24">
        <v>22170062.118999999</v>
      </c>
      <c r="H24">
        <v>90782701.798470005</v>
      </c>
      <c r="J24" s="5">
        <f>'sv07'!$AA$3+'sv07'!$Z$3*($B24)+'sv07'!$Y$3*($B24)^2+'sv07'!$X$3*($B24)^3+'sv07'!$W$3*($B24)^4+'sv07'!$V$3*($B24)^5+'sv07'!$U$3*($B24)^6+'sv07'!$T$3*($B24)^7+'sv07'!$S$3*($B24)^8</f>
        <v>25780.963649926929</v>
      </c>
      <c r="K24" s="5">
        <f>'sv07'!$AA$4+'sv07'!$Z$4*($B24)+'sv07'!$Y$4*($B24)^2+'sv07'!$X$4*($B24)^3+'sv07'!$W$4*($B24)^4+'sv07'!$V$4*($B24)^5+'sv07'!$U$4*($B24)^6+'sv07'!$T$4*($B24)^7+'sv07'!$S$4*($B24)^8</f>
        <v>6330.680238842494</v>
      </c>
      <c r="L24" s="5">
        <f>'sv07'!$AA$5+'sv07'!$Z$5*($B24)+'sv07'!$Y$5*($B24)^2+'sv07'!$X$5*($B24)^3+'sv07'!$W$5*($B24)^4+'sv07'!$V$5*($B24)^5+'sv07'!$U$5*($B24)^6+'sv07'!$T$5*($B24)^7+'sv07'!$S$5*($B24)^8</f>
        <v>2362.2647290506529</v>
      </c>
      <c r="M24" s="5">
        <f>'sv07'!$AA$6+'sv07'!$Z$6*$B24+'sv07'!$Y$6*$B24^2+'sv07'!$X$6*$B24^3+'sv07'!$W$6*$B24^4+'sv07'!$V$6*$B24^5+'sv07'!$U$6*$B24^6+'sv07'!$T$6*$B24^7+'sv07'!$S$6*$B24^8</f>
        <v>-0.63758599247135128</v>
      </c>
      <c r="O24">
        <f>SQRT(($J24*1000-coord!$B$2)^2+($K24*1000-coord!$C$2)^2+($L24*1000-coord!$D$2)^2)/coord!$B$6</f>
        <v>7.3950595058631691E-2</v>
      </c>
      <c r="Q24" s="5">
        <f>'sv07'!$AA$3+'sv07'!$Z$3*($B24-$O24/3600)+'sv07'!$Y$3*($B24-$O24/3600)^2+'sv07'!$X$3*($B24-$O24/3600)^3+'sv07'!$W$3*($B24-$O24/3600)^4+'sv07'!$V$3*($B24-$O24/3600)^5+'sv07'!$U$3*($B24-$O24/3600)^6+'sv07'!$T$3*($B24-$O24/3600)^7+'sv07'!$S$3*($B24-$O24/3600)^8+K24*coord!$B$7*O24</f>
        <v>25781.022655258748</v>
      </c>
      <c r="R24" s="5">
        <f>'sv07'!$AA$4+'sv07'!$Z$4*($B24-$O24/3600)+'sv07'!$Y$4*($B24-$O24/3600)^2+'sv07'!$X$4*($B24-$O24/3600)^3+'sv07'!$W$4*($B24-$O24/3600)^4+'sv07'!$V$4*($B24-$O24/3600)^5+'sv07'!$U$4*($B24-$O24/3600)^6+'sv07'!$T$4*($B24-$O24/3600)^7+'sv07'!$S$4*($B24-$O24/3600)^8-J24*coord!$B$7*O24</f>
        <v>6330.5283043143509</v>
      </c>
      <c r="S24" s="5">
        <f>'sv07'!$AA$5+'sv07'!$Z$5*($B24-$O24/3600)+'sv07'!$Y$5*($B24-$O24/3600)^2+'sv07'!$X$5*($B24-$O24/3600)^3+'sv07'!$W$5*($B24-$O24/3600)^4+'sv07'!$V$5*($B24-$O24/3600)^5+'sv07'!$U$5*($B24-$O24/3600)^6+'sv07'!$T$5*($B24-$O24/3600)^7+'sv07'!$S$5*($B24-$O24/3600)^8</f>
        <v>2362.0303190858508</v>
      </c>
      <c r="T24">
        <f>coord!$B$6*M24/10^6</f>
        <v>-191.14347186935589</v>
      </c>
      <c r="U24">
        <f>SQRT(($Q24*1000+coord!$B$7*$O24*$R24*1000-coord!$B$2)^2+($R24*1000-coord!$B$7*$O24*$Q24*1000-coord!$C$2)^2+($S24*1000-coord!$D$2)^2)</f>
        <v>22169872.401585992</v>
      </c>
      <c r="V24" s="3">
        <f>$D24-(U24-$T24)-coord!$E$2</f>
        <v>-1.0080578625202179</v>
      </c>
      <c r="W24" s="3" t="s">
        <v>127</v>
      </c>
      <c r="X24" s="1" t="s">
        <v>128</v>
      </c>
      <c r="Y24">
        <f>-(Q24*1000-coord!$B$2)/$U24</f>
        <v>-0.96491960336805516</v>
      </c>
      <c r="Z24">
        <f>-(R24*1000-coord!$C$2)/$U24</f>
        <v>-0.2438425442055146</v>
      </c>
      <c r="AA24">
        <f>-(S24*1000-coord!$D$2)/$U24</f>
        <v>9.73193672986499E-2</v>
      </c>
      <c r="AB24">
        <v>1</v>
      </c>
      <c r="BA24">
        <f>SQRT(($Q24*1000+coord!$B$7*$O24*$R24*1000-coord!$B$2-AX$18)^2+($R24*1000-coord!$B$7*$O24*$Q24*1000-coord!$C$2-AX$19)^2+($S24*1000-coord!$D$2-AX$20)^2)</f>
        <v>22169870.520043295</v>
      </c>
      <c r="BB24" s="3">
        <f t="shared" si="4"/>
        <v>-5.8934816245984791</v>
      </c>
      <c r="BC24" s="3" t="s">
        <v>127</v>
      </c>
      <c r="BD24" s="1" t="s">
        <v>128</v>
      </c>
      <c r="BE24" s="1"/>
      <c r="BF24" s="1"/>
      <c r="CD24" s="1"/>
      <c r="CE24" s="1"/>
      <c r="CF24" s="1"/>
      <c r="CG24" s="1"/>
    </row>
    <row r="25" spans="1:108">
      <c r="V25" s="3"/>
      <c r="W25" s="3">
        <f>AVERAGE($V18:$V24)</f>
        <v>-4.9800107920808454</v>
      </c>
      <c r="X25" s="1">
        <f>SQRT(DEVSQ($V18:$V24)/6)</f>
        <v>15.389616420215564</v>
      </c>
      <c r="BB25" s="3"/>
      <c r="BC25" s="3">
        <f>AVERAGE($BB18:$BB24)</f>
        <v>6.1445317632952931E-5</v>
      </c>
      <c r="BD25" s="1">
        <f>SQRT(DEVSQ($BB18:$BB24)/6)</f>
        <v>5.0229362962591653</v>
      </c>
      <c r="BE25" s="1"/>
      <c r="BF25" s="1"/>
      <c r="CD25" s="1"/>
      <c r="CE25" s="1"/>
      <c r="CF25" s="1"/>
      <c r="CG25" s="1"/>
    </row>
    <row r="26" spans="1:108">
      <c r="A26">
        <v>6</v>
      </c>
      <c r="B26">
        <f t="shared" ref="B26:B32" si="5">(60-45)/60+30*A26/3600</f>
        <v>0.3</v>
      </c>
      <c r="C26">
        <v>2</v>
      </c>
      <c r="D26">
        <v>22844726.940000001</v>
      </c>
      <c r="E26">
        <v>120049853.40347999</v>
      </c>
      <c r="F26">
        <v>2525.1080000000002</v>
      </c>
      <c r="G26">
        <v>22844723.691</v>
      </c>
      <c r="H26">
        <v>93545329.436460003</v>
      </c>
      <c r="J26" s="5">
        <f>'sv02'!$AA$3+'sv02'!$Z$3*($B26)+'sv02'!$Y$3*($B26)^2+'sv02'!$X$3*($B26)^3+'sv02'!$W$3*($B26)^4+'sv02'!$V$3*($B26)^5+'sv02'!$U$3*($B26)^6+'sv02'!$T$3*($B26)^7+'sv02'!$S$3*($B26)^8</f>
        <v>6056.0400629923897</v>
      </c>
      <c r="K26" s="5">
        <f>'sv02'!$AA$4+'sv02'!$Z$4*($B26)+'sv02'!$Y$4*($B26)^2+'sv02'!$X$4*($B26)^3+'sv02'!$W$4*($B26)^4+'sv02'!$V$4*($B26)^5+'sv02'!$U$4*($B26)^6+'sv02'!$T$4*($B26)^7+'sv02'!$S$4*($B26)^8</f>
        <v>-14714.4249290918</v>
      </c>
      <c r="L26" s="5">
        <f>'sv02'!$AA$5+'sv02'!$Z$5*($B26)+'sv02'!$Y$5*($B26)^2+'sv02'!$X$5*($B26)^3+'sv02'!$W$5*($B26)^4+'sv02'!$V$5*($B26)^5+'sv02'!$U$5*($B26)^6+'sv02'!$T$5*($B26)^7+'sv02'!$S$5*($B26)^8</f>
        <v>21194.603641438243</v>
      </c>
      <c r="M26" s="5">
        <f>'sv02'!$AA$6+'sv02'!$Z$6*$B26+'sv02'!$Y$6*$B26^2+'sv02'!$X$6*$B26^3+'sv02'!$W$6*$B26^4+'sv02'!$V$6*$B26^5+'sv02'!$U$6*$B26^6+'sv02'!$T$6*$B26^7+'sv02'!$S$6*$B26^8</f>
        <v>257.59036976691146</v>
      </c>
      <c r="O26">
        <f>SQRT(($J26*1000-coord!$B$2)^2+($K26*1000-coord!$C$2)^2+($L26*1000-coord!$D$2)^2)/coord!$B$6</f>
        <v>7.6459245488425615E-2</v>
      </c>
      <c r="Q26" s="5">
        <f>'sv02'!$AA$3+'sv02'!$Z$3*($B26-$O26/3600)+'sv02'!$Y$3*($B26-$O26/3600)^2+'sv02'!$X$3*($B26-$O26/3600)^3+'sv02'!$W$3*($B26-$O26/3600)^4+'sv02'!$V$3*($B26-$O26/3600)^5+'sv02'!$U$3*($B26-$O26/3600)^6+'sv02'!$T$3*($B26-$O26/3600)^7+'sv02'!$S$3*($B26-$O26/3600)^8+K26*coord!$B$7*O26</f>
        <v>6055.7541629382504</v>
      </c>
      <c r="R26" s="5">
        <f>'sv02'!$AA$4+'sv02'!$Z$4*($B26-$O26/3600)+'sv02'!$Y$4*($B26-$O26/3600)^2+'sv02'!$X$4*($B26-$O26/3600)^3+'sv02'!$W$4*($B26-$O26/3600)^4+'sv02'!$V$4*($B26-$O26/3600)^5+'sv02'!$U$4*($B26-$O26/3600)^6+'sv02'!$T$4*($B26-$O26/3600)^7+'sv02'!$S$4*($B26-$O26/3600)^8-J26*coord!$B$7*O26</f>
        <v>-14714.496365240466</v>
      </c>
      <c r="S26" s="5">
        <f>'sv02'!$AA$5+'sv02'!$Z$5*($B26-$O26/3600)+'sv02'!$Y$5*($B26-$O26/3600)^2+'sv02'!$X$5*($B26-$O26/3600)^3+'sv02'!$W$5*($B26-$O26/3600)^4+'sv02'!$V$5*($B26-$O26/3600)^5+'sv02'!$U$5*($B26-$O26/3600)^6+'sv02'!$T$5*($B26-$O26/3600)^7+'sv02'!$S$5*($B26-$O26/3600)^8</f>
        <v>21194.6391918105</v>
      </c>
      <c r="T26">
        <f>coord!$B$6*M26/10^6</f>
        <v>77223.650109551265</v>
      </c>
      <c r="U26">
        <f>SQRT(($Q26*1000+coord!$B$7*$O26*$R26*1000-coord!$B$2)^2+($R26*1000-coord!$B$7*$O26*$Q26*1000-coord!$C$2)^2+($S26*1000-coord!$D$2)^2)</f>
        <v>22921976.020712804</v>
      </c>
      <c r="V26" s="3">
        <f>$D26-(U26-$T26)-coord!$E$2</f>
        <v>-25.430603250861168</v>
      </c>
      <c r="W26" s="3"/>
      <c r="Y26">
        <f>-(Q26*1000-coord!$B$2)/$U26</f>
        <v>-7.271955919646822E-2</v>
      </c>
      <c r="Z26">
        <f>-(R26*1000-coord!$C$2)/$U26</f>
        <v>0.68227392631022121</v>
      </c>
      <c r="AA26">
        <f>-(S26*1000-coord!$D$2)/$U26</f>
        <v>-0.72747004457393005</v>
      </c>
      <c r="AB26">
        <v>1</v>
      </c>
      <c r="AD26">
        <f t="array" ref="AD26:AJ29">TRANSPOSE(Y26:AB32)</f>
        <v>-7.271955919646822E-2</v>
      </c>
      <c r="AE26">
        <v>-0.2435572720938885</v>
      </c>
      <c r="AF26">
        <v>-0.12884739719472466</v>
      </c>
      <c r="AG26">
        <v>-0.78027127058095647</v>
      </c>
      <c r="AH26">
        <v>-0.43027047641654936</v>
      </c>
      <c r="AI26">
        <v>-0.54456402779882696</v>
      </c>
      <c r="AJ26">
        <v>-0.9655158986559973</v>
      </c>
      <c r="AL26">
        <f t="array" ref="AL26:AO29">MMULT(AD26:AJ29,Y26:AB32)</f>
        <v>2.1039368003431242</v>
      </c>
      <c r="AM26">
        <v>0.37105017947464336</v>
      </c>
      <c r="AN26">
        <v>1.1192049312783656</v>
      </c>
      <c r="AO26">
        <v>-3.1657459019374112</v>
      </c>
      <c r="AQ26">
        <f t="array" ref="AQ26:AT29">MINVERSE(AL26:AO29)</f>
        <v>2.4666585340062452</v>
      </c>
      <c r="AR26">
        <v>-0.13427573000503915</v>
      </c>
      <c r="AS26">
        <v>1.3561673164617678</v>
      </c>
      <c r="AT26">
        <v>1.7871616842712459</v>
      </c>
      <c r="AV26">
        <f t="array" ref="AV26:AV29">MMULT(AD26:AJ29,V26:V32)</f>
        <v>6.3179235383530186</v>
      </c>
      <c r="AX26">
        <f t="array" ref="AX26:AX29">MMULT(AQ26:AT29,AV26:AV29)</f>
        <v>8.6594811963547613</v>
      </c>
      <c r="BA26">
        <f>SQRT(($Q26*1000+coord!$B$7*$O26*$R26*1000-coord!$B$2-AX$26)^2+($R26*1000-coord!$B$7*$O26*$Q26*1000-coord!$C$2-AX$27)^2+($S26*1000-coord!$D$2-AX$28)^2)</f>
        <v>22921949.932332754</v>
      </c>
      <c r="BB26" s="3">
        <f>$D26-(BA26-$T26)-AX$29</f>
        <v>-6.349999503962465</v>
      </c>
      <c r="BD26" s="1">
        <f>coord!$B$2+$AX26</f>
        <v>4388886.8302811971</v>
      </c>
      <c r="BE26" s="1">
        <f>coord!$C$2+$AX27</f>
        <v>924549.88259149948</v>
      </c>
      <c r="BF26" s="1">
        <f>coord!$D$2+$AX28</f>
        <v>4519604.202962325</v>
      </c>
      <c r="BG26" s="1">
        <f>coord!$E$2+$AX29</f>
        <v>7.0077763030154188</v>
      </c>
      <c r="BH26" s="8">
        <f>lat($BD26,$BE26,$BF26)</f>
        <v>45.411244445421495</v>
      </c>
      <c r="BI26" s="8">
        <f>lon($BD26,$BE26,$BF26)</f>
        <v>11.89582959582796</v>
      </c>
      <c r="BJ26" s="6">
        <f>h($BD26,$BE26,$BF26)</f>
        <v>76.471471076831222</v>
      </c>
      <c r="BL26">
        <f>grado($BH26)</f>
        <v>45</v>
      </c>
      <c r="BM26">
        <f>MINUTOprimo($BH26)</f>
        <v>24</v>
      </c>
      <c r="BN26">
        <f>MINUTOsecondo($BH26)</f>
        <v>40.48000351738267</v>
      </c>
      <c r="BO26">
        <f>grado($BI26)</f>
        <v>11</v>
      </c>
      <c r="BP26">
        <f>MINUTOprimo($BI26)</f>
        <v>53</v>
      </c>
      <c r="BQ26">
        <f>MINUTOsecondo($BI26)</f>
        <v>44.986544980657044</v>
      </c>
      <c r="BS26">
        <f>-SIN(RADIANS(BH26))*COS(RADIANS(BI26))</f>
        <v>-0.69686939517270552</v>
      </c>
      <c r="BT26">
        <f>-SIN(RADIANS(BI26))</f>
        <v>-0.20613296183912139</v>
      </c>
      <c r="BU26">
        <f>COS(RADIANS(BH26))*COS(RADIANS(BI26))</f>
        <v>0.68693685889975276</v>
      </c>
      <c r="BW26" t="s">
        <v>93</v>
      </c>
      <c r="BX26">
        <f t="array" ref="BX26:BZ28">MINVERSE(BS26:BU28)</f>
        <v>-0.69686939517270563</v>
      </c>
      <c r="BY26">
        <v>-0.14680043993005187</v>
      </c>
      <c r="BZ26">
        <v>0.7020133025149673</v>
      </c>
      <c r="CA26">
        <v>0</v>
      </c>
      <c r="CB26" s="1">
        <f t="array" ref="CB26:CB28">MMULT(BX26:BZ28,AX26:AX28)</f>
        <v>8.1321476918737048</v>
      </c>
      <c r="CD26" s="1">
        <f t="array" ref="CD26:CF26">TRANSPOSE(CB26:CB28)</f>
        <v>8.1321476918737048</v>
      </c>
      <c r="CE26" s="1">
        <v>-21.678992687585588</v>
      </c>
      <c r="CF26" s="1">
        <v>14.350330659580768</v>
      </c>
      <c r="CH26">
        <f t="array" ref="CH26:CK29">MMULT(BX26:CA29,AQ26:AT29)</f>
        <v>-0.74717960786166937</v>
      </c>
      <c r="CI26">
        <v>0.18582789037462066</v>
      </c>
      <c r="CJ26">
        <v>0.60443959542979564</v>
      </c>
      <c r="CK26">
        <v>-4.0971712307737329E-2</v>
      </c>
      <c r="CM26">
        <f t="array" ref="CM26:CP29">TRANSPOSE(BX26:CA29)</f>
        <v>-0.69686939517270563</v>
      </c>
      <c r="CN26">
        <v>-0.20613296183912139</v>
      </c>
      <c r="CO26">
        <v>0.68693685889975287</v>
      </c>
      <c r="CP26">
        <v>0</v>
      </c>
      <c r="CR26" s="5">
        <f t="array" ref="CR26:CU29">MMULT(CH26:CK29,CM26:CP29)</f>
        <v>0.91773162191615465</v>
      </c>
      <c r="CS26" s="5">
        <v>0.3358553946254349</v>
      </c>
      <c r="CT26" s="5">
        <v>-5.5914397116242298E-2</v>
      </c>
      <c r="CU26" s="5">
        <v>-4.0971712307737329E-2</v>
      </c>
      <c r="CW26" s="3">
        <f>SQRT(CR26+CS27)</f>
        <v>1.2402256741399973</v>
      </c>
      <c r="CX26" s="3">
        <f>CT28</f>
        <v>3.6662191632940972</v>
      </c>
      <c r="CY26" s="3">
        <f>CU29</f>
        <v>1.8037300853809746</v>
      </c>
      <c r="CZ26" s="3">
        <f>BD33</f>
        <v>5.0153348617891389</v>
      </c>
      <c r="DA26">
        <v>6</v>
      </c>
      <c r="DB26" s="6">
        <f>CY26*DA26*CZ26</f>
        <v>54.277862270814609</v>
      </c>
      <c r="DC26">
        <v>5.33</v>
      </c>
      <c r="DD26" s="6">
        <f>CZ26*DC26*SQRT(0.5*(CR26+CS27)+SQRT((0.5*(CR26-CS27))^2+CS26^2))</f>
        <v>28.496104927862458</v>
      </c>
    </row>
    <row r="27" spans="1:108">
      <c r="A27">
        <v>6</v>
      </c>
      <c r="B27">
        <f t="shared" si="5"/>
        <v>0.3</v>
      </c>
      <c r="C27">
        <v>23</v>
      </c>
      <c r="D27">
        <v>20913122.252</v>
      </c>
      <c r="E27">
        <v>109899197.53449</v>
      </c>
      <c r="F27">
        <v>-1771.9059999999999</v>
      </c>
      <c r="G27">
        <v>20913118.776000001</v>
      </c>
      <c r="H27">
        <v>85635724.989470005</v>
      </c>
      <c r="J27" s="5">
        <f>'sv23'!$AA$3+'sv23'!$Z$3*($B27)+'sv23'!$Y$3*($B27)^2+'sv23'!$X$3*($B27)^3+'sv23'!$W$3*($B27)^4+'sv23'!$V$3*($B27)^5+'sv23'!$U$3*($B27)^6+'sv23'!$T$3*($B27)^7+'sv23'!$S$3*($B27)^8</f>
        <v>9509.253067766118</v>
      </c>
      <c r="K27" s="5">
        <f>'sv23'!$AA$4+'sv23'!$Z$4*($B27)+'sv23'!$Y$4*($B27)^2+'sv23'!$X$4*($B27)^3+'sv23'!$W$4*($B27)^4+'sv23'!$V$4*($B27)^5+'sv23'!$U$4*($B27)^6+'sv23'!$T$4*($B27)^7+'sv23'!$S$4*($B27)^8</f>
        <v>11893.591155274971</v>
      </c>
      <c r="L27" s="5">
        <f>'sv23'!$AA$5+'sv23'!$Z$5*($B27)+'sv23'!$Y$5*($B27)^2+'sv23'!$X$5*($B27)^3+'sv23'!$W$5*($B27)^4+'sv23'!$V$5*($B27)^5+'sv23'!$U$5*($B27)^6+'sv23'!$T$5*($B27)^7+'sv23'!$S$5*($B27)^8</f>
        <v>21708.987952317766</v>
      </c>
      <c r="M27" s="5">
        <f>'sv23'!$AA$6+'sv23'!$Z$6*$B27+'sv23'!$Y$6*$B27^2+'sv23'!$X$6*$B27^3+'sv23'!$W$6*$B27^4+'sv23'!$V$6*$B27^5+'sv23'!$U$6*$B27^6+'sv23'!$T$6*$B27^7+'sv23'!$S$6*$B27^8</f>
        <v>370.05739833960257</v>
      </c>
      <c r="O27">
        <f>SQRT(($J27*1000-coord!$B$2)^2+($K27*1000-coord!$C$2)^2+($L27*1000-coord!$D$2)^2)/coord!$B$6</f>
        <v>7.012887590991175E-2</v>
      </c>
      <c r="Q27" s="5">
        <f>'sv23'!$AA$3+'sv23'!$Z$3*($B27-$O27/3600)+'sv23'!$Y$3*($B27-$O27/3600)^2+'sv23'!$X$3*($B27-$O27/3600)^3+'sv23'!$W$3*($B27-$O27/3600)^4+'sv23'!$V$3*($B27-$O27/3600)^5+'sv23'!$U$3*($B27-$O27/3600)^6+'sv23'!$T$3*($B27-$O27/3600)^7+'sv23'!$S$3*($B27-$O27/3600)^8+K27*coord!$B$7*O27</f>
        <v>9509.4416819952585</v>
      </c>
      <c r="R27" s="5">
        <f>'sv23'!$AA$4+'sv23'!$Z$4*($B27-$O27/3600)+'sv23'!$Y$4*($B27-$O27/3600)^2+'sv23'!$X$4*($B27-$O27/3600)^3+'sv23'!$W$4*($B27-$O27/3600)^4+'sv23'!$V$4*($B27-$O27/3600)^5+'sv23'!$U$4*($B27-$O27/3600)^6+'sv23'!$T$4*($B27-$O27/3600)^7+'sv23'!$S$4*($B27-$O27/3600)^8-J27*coord!$B$7*O27</f>
        <v>11893.396759948608</v>
      </c>
      <c r="S27" s="5">
        <f>'sv23'!$AA$5+'sv23'!$Z$5*($B27-$O27/3600)+'sv23'!$Y$5*($B27-$O27/3600)^2+'sv23'!$X$5*($B27-$O27/3600)^3+'sv23'!$W$5*($B27-$O27/3600)^4+'sv23'!$V$5*($B27-$O27/3600)^5+'sv23'!$U$5*($B27-$O27/3600)^6+'sv23'!$T$5*($B27-$O27/3600)^7+'sv23'!$S$5*($B27-$O27/3600)^8</f>
        <v>21709.013978944706</v>
      </c>
      <c r="T27">
        <f>coord!$B$6*M27/10^6</f>
        <v>110940.41704931458</v>
      </c>
      <c r="U27">
        <f>SQRT(($Q27*1000+coord!$B$7*$O27*$R27*1000-coord!$B$2)^2+($R27*1000-coord!$B$7*$O27*$Q27*1000-coord!$C$2)^2+($S27*1000-coord!$D$2)^2)</f>
        <v>21024063.322655953</v>
      </c>
      <c r="V27" s="3">
        <f>$D27-(U27-$T27)-coord!$E$2</f>
        <v>-0.65360663831233978</v>
      </c>
      <c r="W27" s="3"/>
      <c r="Y27">
        <f>-(Q27*1000-coord!$B$2)/$U27</f>
        <v>-0.2435572720938885</v>
      </c>
      <c r="Z27">
        <f>-(R27*1000-coord!$C$2)/$U27</f>
        <v>-0.52172724075314125</v>
      </c>
      <c r="AA27">
        <f>-(S27*1000-coord!$D$2)/$U27</f>
        <v>-0.81760720755254912</v>
      </c>
      <c r="AB27">
        <v>1</v>
      </c>
      <c r="AD27">
        <v>0.68227392631022121</v>
      </c>
      <c r="AE27">
        <v>-0.52172724075314125</v>
      </c>
      <c r="AF27">
        <v>0.80573247847231577</v>
      </c>
      <c r="AG27">
        <v>0.39125144655452482</v>
      </c>
      <c r="AH27">
        <v>-0.89570002056524778</v>
      </c>
      <c r="AI27">
        <v>-0.14881191012358161</v>
      </c>
      <c r="AJ27">
        <v>-0.24470056237399068</v>
      </c>
      <c r="AL27">
        <v>0.37105017947464336</v>
      </c>
      <c r="AM27">
        <v>2.424281422224162</v>
      </c>
      <c r="AN27">
        <v>-0.52488173647428571</v>
      </c>
      <c r="AO27">
        <v>6.8318117521100341E-2</v>
      </c>
      <c r="AQ27">
        <v>-0.13427573000503912</v>
      </c>
      <c r="AR27">
        <v>0.48192681245451385</v>
      </c>
      <c r="AS27">
        <v>0.23219262529369308</v>
      </c>
      <c r="AT27">
        <v>4.9335138250969537E-2</v>
      </c>
      <c r="AV27">
        <v>-53.955920294285562</v>
      </c>
      <c r="AX27">
        <v>-20.330608500494449</v>
      </c>
      <c r="BA27">
        <f>SQRT(($Q27*1000+coord!$B$7*$O27*$R27*1000-coord!$B$2-AX$26)^2+($R27*1000-coord!$B$7*$O27*$Q27*1000-coord!$C$2-AX$27)^2+($S27*1000-coord!$D$2-AX$28)^2)</f>
        <v>21024058.797164571</v>
      </c>
      <c r="BB27" s="3">
        <f t="shared" ref="BB27:BB32" si="6">$D27-(BA27-$T27)-AX$29</f>
        <v>-3.135891558401056</v>
      </c>
      <c r="BD27" s="1"/>
      <c r="BE27" s="1"/>
      <c r="BF27" s="1"/>
      <c r="BS27">
        <f>-SIN(RADIANS(BH26))*SIN(RADIANS(BI26))</f>
        <v>-0.14680043993005185</v>
      </c>
      <c r="BT27">
        <f>COS(RADIANS(BI26))</f>
        <v>0.97852399155229264</v>
      </c>
      <c r="BU27">
        <f>COS(RADIANS(BH26))*SIN(RADIANS(BI26))</f>
        <v>0.1447080812978733</v>
      </c>
      <c r="BW27" t="s">
        <v>94</v>
      </c>
      <c r="BX27">
        <v>-0.20613296183912139</v>
      </c>
      <c r="BY27">
        <v>0.97852399155229275</v>
      </c>
      <c r="BZ27">
        <v>0</v>
      </c>
      <c r="CA27">
        <v>0</v>
      </c>
      <c r="CB27" s="1">
        <v>-21.678992687585588</v>
      </c>
      <c r="CD27" s="1"/>
      <c r="CE27" s="1"/>
      <c r="CF27" s="1"/>
      <c r="CH27">
        <v>-0.63985165275358125</v>
      </c>
      <c r="CI27">
        <v>0.49925560208811298</v>
      </c>
      <c r="CJ27">
        <v>-5.2344731180286846E-2</v>
      </c>
      <c r="CK27">
        <v>-0.32011731485910172</v>
      </c>
      <c r="CM27">
        <v>-0.14680043993005187</v>
      </c>
      <c r="CN27">
        <v>0.97852399155229275</v>
      </c>
      <c r="CO27">
        <v>0.14470808129787333</v>
      </c>
      <c r="CP27">
        <v>0</v>
      </c>
      <c r="CR27" s="5">
        <v>0.33585539462543496</v>
      </c>
      <c r="CS27" s="5">
        <v>0.62042810087985623</v>
      </c>
      <c r="CT27" s="5">
        <v>-0.40456938857234193</v>
      </c>
      <c r="CU27" s="5">
        <v>-0.32011731485910172</v>
      </c>
    </row>
    <row r="28" spans="1:108">
      <c r="A28">
        <v>6</v>
      </c>
      <c r="B28">
        <f t="shared" si="5"/>
        <v>0.3</v>
      </c>
      <c r="C28">
        <v>10</v>
      </c>
      <c r="D28">
        <v>23241165.296999998</v>
      </c>
      <c r="E28">
        <v>122133143.96548</v>
      </c>
      <c r="F28">
        <v>3108.12</v>
      </c>
      <c r="G28">
        <v>23241164.885000002</v>
      </c>
      <c r="H28">
        <v>95168686.507449999</v>
      </c>
      <c r="J28" s="5">
        <f>'sv10'!$AA$3+'sv10'!$Z$3*($B28)+'sv10'!$Y$3*($B28)^2+'sv10'!$X$3*($B28)^3+'sv10'!$W$3*($B28)^4+'sv10'!$V$3*($B28)^5+'sv10'!$U$3*($B28)^6+'sv10'!$T$3*($B28)^7+'sv10'!$S$3*($B28)^8</f>
        <v>7381.9557699721081</v>
      </c>
      <c r="K28" s="5">
        <f>'sv10'!$AA$4+'sv10'!$Z$4*($B28)+'sv10'!$Y$4*($B28)^2+'sv10'!$X$4*($B28)^3+'sv10'!$W$4*($B28)^4+'sv10'!$V$4*($B28)^5+'sv10'!$U$4*($B28)^6+'sv10'!$T$4*($B28)^7+'sv10'!$S$4*($B28)^8</f>
        <v>-17791.008711143884</v>
      </c>
      <c r="L28" s="5">
        <f>'sv10'!$AA$5+'sv10'!$Z$5*($B28)+'sv10'!$Y$5*($B28)^2+'sv10'!$X$5*($B28)^3+'sv10'!$W$5*($B28)^4+'sv10'!$V$5*($B28)^5+'sv10'!$U$5*($B28)^6+'sv10'!$T$5*($B28)^7+'sv10'!$S$5*($B28)^8</f>
        <v>17947.840174554811</v>
      </c>
      <c r="M28" s="5">
        <f>'sv10'!$AA$6+'sv10'!$Z$6*$B28+'sv10'!$Y$6*$B28^2+'sv10'!$X$6*$B28^3+'sv10'!$W$6*$B28^4+'sv10'!$V$6*$B28^5+'sv10'!$U$6*$B28^6+'sv10'!$T$6*$B28^7+'sv10'!$S$6*$B28^8</f>
        <v>-43.000715373021997</v>
      </c>
      <c r="O28">
        <f>SQRT(($J28*1000-coord!$B$2)^2+($K28*1000-coord!$C$2)^2+($L28*1000-coord!$D$2)^2)/coord!$B$6</f>
        <v>7.7480941037392795E-2</v>
      </c>
      <c r="Q28" s="5">
        <f>'sv10'!$AA$3+'sv10'!$Z$3*($B28-$O28/3600)+'sv10'!$Y$3*($B28-$O28/3600)^2+'sv10'!$X$3*($B28-$O28/3600)^3+'sv10'!$W$3*($B28-$O28/3600)^4+'sv10'!$V$3*($B28-$O28/3600)^5+'sv10'!$U$3*($B28-$O28/3600)^6+'sv10'!$T$3*($B28-$O28/3600)^7+'sv10'!$S$3*($B28-$O28/3600)^8+K28*coord!$B$7*O28</f>
        <v>7381.7827358975737</v>
      </c>
      <c r="R28" s="5">
        <f>'sv10'!$AA$4+'sv10'!$Z$4*($B28-$O28/3600)+'sv10'!$Y$4*($B28-$O28/3600)^2+'sv10'!$X$4*($B28-$O28/3600)^3+'sv10'!$W$4*($B28-$O28/3600)^4+'sv10'!$V$4*($B28-$O28/3600)^5+'sv10'!$U$4*($B28-$O28/3600)^6+'sv10'!$T$4*($B28-$O28/3600)^7+'sv10'!$S$4*($B28-$O28/3600)^8-J28*coord!$B$7*O28</f>
        <v>-17791.216566898871</v>
      </c>
      <c r="S28" s="5">
        <f>'sv10'!$AA$5+'sv10'!$Z$5*($B28-$O28/3600)+'sv10'!$Y$5*($B28-$O28/3600)^2+'sv10'!$X$5*($B28-$O28/3600)^3+'sv10'!$W$5*($B28-$O28/3600)^4+'sv10'!$V$5*($B28-$O28/3600)^5+'sv10'!$U$5*($B28-$O28/3600)^6+'sv10'!$T$5*($B28-$O28/3600)^7+'sv10'!$S$5*($B28-$O28/3600)^8</f>
        <v>17947.704034393239</v>
      </c>
      <c r="T28">
        <f>coord!$B$6*M28/10^6</f>
        <v>-12891.290157436651</v>
      </c>
      <c r="U28">
        <f>SQRT(($Q28*1000+coord!$B$7*$O28*$R28*1000-coord!$B$2)^2+($R28*1000-coord!$B$7*$O28*$Q28*1000-coord!$C$2)^2+($S28*1000-coord!$D$2)^2)</f>
        <v>23228288.892591696</v>
      </c>
      <c r="V28" s="3">
        <f>$D28-(U28-$T28)-coord!$E$2</f>
        <v>-14.885749135166407</v>
      </c>
      <c r="W28" s="3"/>
      <c r="Y28">
        <f>-(Q28*1000-coord!$B$2)/$U28</f>
        <v>-0.12884739719472466</v>
      </c>
      <c r="Z28">
        <f>-(R28*1000-coord!$C$2)/$U28</f>
        <v>0.80573247847231577</v>
      </c>
      <c r="AA28">
        <f>-(S28*1000-coord!$D$2)/$U28</f>
        <v>-0.57809319585205998</v>
      </c>
      <c r="AB28">
        <v>1</v>
      </c>
      <c r="AD28">
        <v>-0.72747004457393005</v>
      </c>
      <c r="AE28">
        <v>-0.81760720755254912</v>
      </c>
      <c r="AF28">
        <v>-0.57809319585205998</v>
      </c>
      <c r="AG28">
        <v>-0.48795272674428913</v>
      </c>
      <c r="AH28">
        <v>-0.11220743791619577</v>
      </c>
      <c r="AI28">
        <v>-0.82541208363428764</v>
      </c>
      <c r="AJ28">
        <v>8.8886288932236532E-2</v>
      </c>
      <c r="AL28">
        <v>1.1192049312783656</v>
      </c>
      <c r="AM28">
        <v>-0.52488173647428571</v>
      </c>
      <c r="AN28">
        <v>2.4717802075152662</v>
      </c>
      <c r="AO28">
        <v>-3.4598564073410754</v>
      </c>
      <c r="AQ28">
        <v>1.3561673164617685</v>
      </c>
      <c r="AR28">
        <v>0.23219262529369303</v>
      </c>
      <c r="AS28">
        <v>2.2557935396293489</v>
      </c>
      <c r="AT28">
        <v>1.7260199847275943</v>
      </c>
      <c r="AV28">
        <v>35.489151675750236</v>
      </c>
      <c r="AX28">
        <v>15.928662325498053</v>
      </c>
      <c r="BA28">
        <f>SQRT(($Q28*1000+coord!$B$7*$O28*$R28*1000-coord!$B$2-AX$26)^2+($R28*1000-coord!$B$7*$O28*$Q28*1000-coord!$C$2-AX$27)^2+($S28*1000-coord!$D$2-AX$28)^2)</f>
        <v>23228262.187558789</v>
      </c>
      <c r="BB28" s="3">
        <f t="shared" si="6"/>
        <v>4.8115074692445319</v>
      </c>
      <c r="BD28" s="1"/>
      <c r="BE28" s="1"/>
      <c r="BF28" s="1"/>
      <c r="BS28">
        <f>COS(RADIANS(BH26))</f>
        <v>0.70201330251496719</v>
      </c>
      <c r="BT28">
        <v>0</v>
      </c>
      <c r="BU28">
        <f>SIN(RADIANS(BH26))</f>
        <v>0.7121638316370954</v>
      </c>
      <c r="BW28" t="s">
        <v>95</v>
      </c>
      <c r="BX28">
        <v>0.68693685889975287</v>
      </c>
      <c r="BY28">
        <v>0.14470808129787333</v>
      </c>
      <c r="BZ28">
        <v>0.7121638316370954</v>
      </c>
      <c r="CA28">
        <v>0</v>
      </c>
      <c r="CB28" s="1">
        <v>14.350330659580768</v>
      </c>
      <c r="CD28" s="1"/>
      <c r="CE28" s="1"/>
      <c r="CF28" s="1"/>
      <c r="CH28">
        <v>2.640821194507029</v>
      </c>
      <c r="CI28">
        <v>0.14285894586719264</v>
      </c>
      <c r="CJ28">
        <v>2.5716960363751635</v>
      </c>
      <c r="CK28">
        <v>2.4640154327419492</v>
      </c>
      <c r="CM28">
        <v>0.7020133025149673</v>
      </c>
      <c r="CN28">
        <v>0</v>
      </c>
      <c r="CO28">
        <v>0.7121638316370954</v>
      </c>
      <c r="CP28">
        <v>0</v>
      </c>
      <c r="CR28" s="5">
        <v>-5.5914397116242576E-2</v>
      </c>
      <c r="CS28" s="5">
        <v>-0.40456938857234204</v>
      </c>
      <c r="CT28" s="5">
        <v>3.6662191632940972</v>
      </c>
      <c r="CU28" s="5">
        <v>2.4640154327419492</v>
      </c>
    </row>
    <row r="29" spans="1:108">
      <c r="A29">
        <v>6</v>
      </c>
      <c r="B29">
        <f t="shared" si="5"/>
        <v>0.3</v>
      </c>
      <c r="C29">
        <v>4</v>
      </c>
      <c r="D29">
        <v>21071522.316</v>
      </c>
      <c r="E29">
        <v>110731596.55249</v>
      </c>
      <c r="F29">
        <v>-617.76900000000001</v>
      </c>
      <c r="G29">
        <v>21071521.649</v>
      </c>
      <c r="H29">
        <v>86284357.994479999</v>
      </c>
      <c r="J29" s="5">
        <f>'sv04'!$AA$3+'sv04'!$Z$3*($B29)+'sv04'!$Y$3*($B29)^2+'sv04'!$X$3*($B29)^3+'sv04'!$W$3*($B29)^4+'sv04'!$V$3*($B29)^5+'sv04'!$U$3*($B29)^6+'sv04'!$T$3*($B29)^7+'sv04'!$S$3*($B29)^8</f>
        <v>20850.813423208863</v>
      </c>
      <c r="K29" s="5">
        <f>'sv04'!$AA$4+'sv04'!$Z$4*($B29)+'sv04'!$Y$4*($B29)^2+'sv04'!$X$4*($B29)^3+'sv04'!$W$4*($B29)^4+'sv04'!$V$4*($B29)^5+'sv04'!$U$4*($B29)^6+'sv04'!$T$4*($B29)^7+'sv04'!$S$4*($B29)^8</f>
        <v>-7329.7084580011269</v>
      </c>
      <c r="L29" s="5">
        <f>'sv04'!$AA$5+'sv04'!$Z$5*($B29)+'sv04'!$Y$5*($B29)^2+'sv04'!$X$5*($B29)^3+'sv04'!$W$5*($B29)^4+'sv04'!$V$5*($B29)^5+'sv04'!$U$5*($B29)^6+'sv04'!$T$5*($B29)^7+'sv04'!$S$5*($B29)^8</f>
        <v>14814.010479327357</v>
      </c>
      <c r="M29" s="5">
        <f>'sv04'!$AA$6+'sv04'!$Z$6*$B29+'sv04'!$Y$6*$B29^2+'sv04'!$X$6*$B29^3+'sv04'!$W$6*$B29^4+'sv04'!$V$6*$B29^5+'sv04'!$U$6*$B29^6+'sv04'!$T$6*$B29^7+'sv04'!$S$6*$B29^8</f>
        <v>86.596351621246143</v>
      </c>
      <c r="O29">
        <f>SQRT(($J29*1000-coord!$B$2)^2+($K29*1000-coord!$C$2)^2+($L29*1000-coord!$D$2)^2)/coord!$B$6</f>
        <v>7.0373609956912511E-2</v>
      </c>
      <c r="Q29" s="5">
        <f>'sv04'!$AA$3+'sv04'!$Z$3*($B29-$O29/3600)+'sv04'!$Y$3*($B29-$O29/3600)^2+'sv04'!$X$3*($B29-$O29/3600)^3+'sv04'!$W$3*($B29-$O29/3600)^4+'sv04'!$V$3*($B29-$O29/3600)^5+'sv04'!$U$3*($B29-$O29/3600)^6+'sv04'!$T$3*($B29-$O29/3600)^7+'sv04'!$S$3*($B29-$O29/3600)^8+K29*coord!$B$7*O29</f>
        <v>20850.64682514868</v>
      </c>
      <c r="R29" s="5">
        <f>'sv04'!$AA$4+'sv04'!$Z$4*($B29-$O29/3600)+'sv04'!$Y$4*($B29-$O29/3600)^2+'sv04'!$X$4*($B29-$O29/3600)^3+'sv04'!$W$4*($B29-$O29/3600)^4+'sv04'!$V$4*($B29-$O29/3600)^5+'sv04'!$U$4*($B29-$O29/3600)^6+'sv04'!$T$4*($B29-$O29/3600)^7+'sv04'!$S$4*($B29-$O29/3600)^8-J29*coord!$B$7*O29</f>
        <v>-7329.8549357157008</v>
      </c>
      <c r="S29" s="5">
        <f>'sv04'!$AA$5+'sv04'!$Z$5*($B29-$O29/3600)+'sv04'!$Y$5*($B29-$O29/3600)^2+'sv04'!$X$5*($B29-$O29/3600)^3+'sv04'!$W$5*($B29-$O29/3600)^4+'sv04'!$V$5*($B29-$O29/3600)^5+'sv04'!$U$5*($B29-$O29/3600)^6+'sv04'!$T$5*($B29-$O29/3600)^7+'sv04'!$S$5*($B29-$O29/3600)^8</f>
        <v>14814.16812720475</v>
      </c>
      <c r="T29">
        <f>coord!$B$6*M29/10^6</f>
        <v>25960.933106365665</v>
      </c>
      <c r="U29">
        <f>SQRT(($Q29*1000+coord!$B$7*$O29*$R29*1000-coord!$B$2)^2+($R29*1000-coord!$B$7*$O29*$Q29*1000-coord!$C$2)^2+($S29*1000-coord!$D$2)^2)</f>
        <v>21097494.262594026</v>
      </c>
      <c r="V29" s="3">
        <f>$D29-(U29-$T29)-coord!$E$2</f>
        <v>-11.013487659394741</v>
      </c>
      <c r="W29" s="3"/>
      <c r="Y29">
        <f>-(Q29*1000-coord!$B$2)/$U29</f>
        <v>-0.78027127058095647</v>
      </c>
      <c r="Z29">
        <f>-(R29*1000-coord!$C$2)/$U29</f>
        <v>0.39125144655452482</v>
      </c>
      <c r="AA29">
        <f>-(S29*1000-coord!$D$2)/$U29</f>
        <v>-0.48795272674428913</v>
      </c>
      <c r="AB29">
        <v>1</v>
      </c>
      <c r="AD29">
        <v>1</v>
      </c>
      <c r="AE29">
        <v>1</v>
      </c>
      <c r="AF29">
        <v>1</v>
      </c>
      <c r="AG29">
        <v>1</v>
      </c>
      <c r="AH29">
        <v>1</v>
      </c>
      <c r="AI29">
        <v>1</v>
      </c>
      <c r="AJ29">
        <v>1</v>
      </c>
      <c r="AL29">
        <v>-3.1657459019374112</v>
      </c>
      <c r="AM29">
        <v>6.8318117521100341E-2</v>
      </c>
      <c r="AN29">
        <v>-3.4598564073410754</v>
      </c>
      <c r="AO29">
        <v>7</v>
      </c>
      <c r="AQ29">
        <v>1.7871616842712472</v>
      </c>
      <c r="AR29">
        <v>4.9335138250969364E-2</v>
      </c>
      <c r="AS29">
        <v>1.7260199847275937</v>
      </c>
      <c r="AT29">
        <v>1.8037300853809746</v>
      </c>
      <c r="AV29">
        <v>-34.859116297215223</v>
      </c>
      <c r="AX29">
        <v>7.0077763030154188</v>
      </c>
      <c r="BA29">
        <f>SQRT(($Q29*1000+coord!$B$7*$O29*$R29*1000-coord!$B$2-AX$26)^2+($R29*1000-coord!$B$7*$O29*$Q29*1000-coord!$C$2-AX$27)^2+($S29*1000-coord!$D$2-AX$28)^2)</f>
        <v>21097471.778953362</v>
      </c>
      <c r="BB29" s="3">
        <f t="shared" si="6"/>
        <v>4.4623767009156268</v>
      </c>
      <c r="BD29" s="1"/>
      <c r="BE29" s="1"/>
      <c r="BF29" s="1"/>
      <c r="BX29">
        <v>0</v>
      </c>
      <c r="BY29">
        <v>0</v>
      </c>
      <c r="BZ29">
        <v>0</v>
      </c>
      <c r="CA29">
        <v>1</v>
      </c>
      <c r="CD29" s="1"/>
      <c r="CE29" s="1"/>
      <c r="CF29" s="1"/>
      <c r="CH29">
        <v>1.7871616842712472</v>
      </c>
      <c r="CI29">
        <v>4.9335138250969364E-2</v>
      </c>
      <c r="CJ29">
        <v>1.7260199847275937</v>
      </c>
      <c r="CK29">
        <v>1.8037300853809746</v>
      </c>
      <c r="CM29">
        <v>0</v>
      </c>
      <c r="CN29">
        <v>0</v>
      </c>
      <c r="CO29">
        <v>0</v>
      </c>
      <c r="CP29">
        <v>1</v>
      </c>
      <c r="CR29" s="5">
        <v>-4.0971712307738661E-2</v>
      </c>
      <c r="CS29" s="5">
        <v>-0.32011731485910216</v>
      </c>
      <c r="CT29" s="5">
        <v>2.4640154327419497</v>
      </c>
      <c r="CU29" s="5">
        <v>1.8037300853809746</v>
      </c>
    </row>
    <row r="30" spans="1:108">
      <c r="A30">
        <v>6</v>
      </c>
      <c r="B30">
        <f t="shared" si="5"/>
        <v>0.3</v>
      </c>
      <c r="C30">
        <v>20</v>
      </c>
      <c r="D30">
        <v>22734897.984000001</v>
      </c>
      <c r="E30">
        <v>119472693.40448</v>
      </c>
      <c r="F30">
        <v>-2932.5929999999998</v>
      </c>
      <c r="G30">
        <v>22734896.776999999</v>
      </c>
      <c r="H30">
        <v>93095600.300459996</v>
      </c>
      <c r="J30" s="5">
        <f>'sv20'!$AA$3+'sv20'!$Z$3*($B30)+'sv20'!$Y$3*($B30)^2+'sv20'!$X$3*($B30)^3+'sv20'!$W$3*($B30)^4+'sv20'!$V$3*($B30)^5+'sv20'!$U$3*($B30)^6+'sv20'!$T$3*($B30)^7+'sv20'!$S$3*($B30)^8</f>
        <v>14178.107794018128</v>
      </c>
      <c r="K30" s="5">
        <f>'sv20'!$AA$4+'sv20'!$Z$4*($B30)+'sv20'!$Y$4*($B30)^2+'sv20'!$X$4*($B30)^3+'sv20'!$W$4*($B30)^4+'sv20'!$V$4*($B30)^5+'sv20'!$U$4*($B30)^6+'sv20'!$T$4*($B30)^7+'sv20'!$S$4*($B30)^8</f>
        <v>21303.338057957892</v>
      </c>
      <c r="L30" s="5">
        <f>'sv20'!$AA$5+'sv20'!$Z$5*($B30)+'sv20'!$Y$5*($B30)^2+'sv20'!$X$5*($B30)^3+'sv20'!$W$5*($B30)^4+'sv20'!$V$5*($B30)^5+'sv20'!$U$5*($B30)^6+'sv20'!$T$5*($B30)^7+'sv20'!$S$5*($B30)^8</f>
        <v>7072.2644089905825</v>
      </c>
      <c r="M30" s="5">
        <f>'sv20'!$AA$6+'sv20'!$Z$6*$B30+'sv20'!$Y$6*$B30^2+'sv20'!$X$6*$B30^3+'sv20'!$W$6*$B30^4+'sv20'!$V$6*$B30^5+'sv20'!$U$6*$B30^6+'sv20'!$T$6*$B30^7+'sv20'!$S$6*$B30^8</f>
        <v>55.818140224047845</v>
      </c>
      <c r="O30">
        <f>SQRT(($J30*1000-coord!$B$2)^2+($K30*1000-coord!$C$2)^2+($L30*1000-coord!$D$2)^2)/coord!$B$6</f>
        <v>7.5891465451239176E-2</v>
      </c>
      <c r="Q30" s="5">
        <f>'sv20'!$AA$3+'sv20'!$Z$3*($B30-$O30/3600)+'sv20'!$Y$3*($B30-$O30/3600)^2+'sv20'!$X$3*($B30-$O30/3600)^3+'sv20'!$W$3*($B30-$O30/3600)^4+'sv20'!$V$3*($B30-$O30/3600)^5+'sv20'!$U$3*($B30-$O30/3600)^6+'sv20'!$T$3*($B30-$O30/3600)^7+'sv20'!$S$3*($B30-$O30/3600)^8+K30*coord!$B$7*O30</f>
        <v>14178.223173312614</v>
      </c>
      <c r="R30" s="5">
        <f>'sv20'!$AA$4+'sv20'!$Z$4*($B30-$O30/3600)+'sv20'!$Y$4*($B30-$O30/3600)^2+'sv20'!$X$4*($B30-$O30/3600)^3+'sv20'!$W$4*($B30-$O30/3600)^4+'sv20'!$V$4*($B30-$O30/3600)^5+'sv20'!$U$4*($B30-$O30/3600)^6+'sv20'!$T$4*($B30-$O30/3600)^7+'sv20'!$S$4*($B30-$O30/3600)^8-J30*coord!$B$7*O30</f>
        <v>21303.185527679892</v>
      </c>
      <c r="S30" s="5">
        <f>'sv20'!$AA$5+'sv20'!$Z$5*($B30-$O30/3600)+'sv20'!$Y$5*($B30-$O30/3600)^2+'sv20'!$X$5*($B30-$O30/3600)^3+'sv20'!$W$5*($B30-$O30/3600)^4+'sv20'!$V$5*($B30-$O30/3600)^5+'sv20'!$U$5*($B30-$O30/3600)^6+'sv20'!$T$5*($B30-$O30/3600)^7+'sv20'!$S$5*($B30-$O30/3600)^8</f>
        <v>7072.4878614570016</v>
      </c>
      <c r="T30">
        <f>coord!$B$6*M30/10^6</f>
        <v>16733.857458755974</v>
      </c>
      <c r="U30">
        <f>SQRT(($Q30*1000+coord!$B$7*$O30*$R30*1000-coord!$B$2)^2+($R30*1000-coord!$B$7*$O30*$Q30*1000-coord!$C$2)^2+($S30*1000-coord!$D$2)^2)</f>
        <v>22751607.509866528</v>
      </c>
      <c r="V30" s="3">
        <f>$D30-(U30-$T30)-coord!$E$2</f>
        <v>24.331592228263617</v>
      </c>
      <c r="W30" s="3"/>
      <c r="Y30">
        <f>-(Q30*1000-coord!$B$2)/$U30</f>
        <v>-0.43027047641654936</v>
      </c>
      <c r="Z30">
        <f>-(R30*1000-coord!$C$2)/$U30</f>
        <v>-0.89570002056524778</v>
      </c>
      <c r="AA30">
        <f>-(S30*1000-coord!$D$2)/$U30</f>
        <v>-0.11220743791619577</v>
      </c>
      <c r="AB30">
        <v>1</v>
      </c>
      <c r="BA30">
        <f>SQRT(($Q30*1000+coord!$B$7*$O30*$R30*1000-coord!$B$2-AX$26)^2+($R30*1000-coord!$B$7*$O30*$Q30*1000-coord!$C$2-AX$27)^2+($S30*1000-coord!$D$2-AX$28)^2)</f>
        <v>22751620.206657272</v>
      </c>
      <c r="BB30" s="3">
        <f t="shared" si="6"/>
        <v>4.6270251816289942</v>
      </c>
      <c r="BD30" s="1"/>
      <c r="BE30" s="1"/>
      <c r="BF30" s="1"/>
      <c r="CD30" s="1"/>
      <c r="CE30" s="1"/>
      <c r="CF30" s="1"/>
    </row>
    <row r="31" spans="1:108">
      <c r="A31">
        <v>6</v>
      </c>
      <c r="B31">
        <f t="shared" si="5"/>
        <v>0.3</v>
      </c>
      <c r="C31">
        <v>13</v>
      </c>
      <c r="D31">
        <v>20077708.443</v>
      </c>
      <c r="E31">
        <v>105509068.68449</v>
      </c>
      <c r="F31">
        <v>-444.51499999999999</v>
      </c>
      <c r="G31">
        <v>20077706.434999999</v>
      </c>
      <c r="H31">
        <v>82214850.825479999</v>
      </c>
      <c r="J31" s="5">
        <f>'sv13'!$AA$3+'sv13'!$Z$3*($B31)+'sv13'!$Y$3*($B31)^2+'sv13'!$X$3*($B31)^3+'sv13'!$W$3*($B31)^4+'sv13'!$V$3*($B31)^5+'sv13'!$U$3*($B31)^6+'sv13'!$T$3*($B31)^7+'sv13'!$S$3*($B31)^8</f>
        <v>15372.00223812273</v>
      </c>
      <c r="K31" s="5">
        <f>'sv13'!$AA$4+'sv13'!$Z$4*($B31)+'sv13'!$Y$4*($B31)^2+'sv13'!$X$4*($B31)^3+'sv13'!$W$4*($B31)^4+'sv13'!$V$4*($B31)^5+'sv13'!$U$4*($B31)^6+'sv13'!$T$4*($B31)^7+'sv13'!$S$4*($B31)^8</f>
        <v>3926.1549124272942</v>
      </c>
      <c r="L31" s="5">
        <f>'sv13'!$AA$5+'sv13'!$Z$5*($B31)+'sv13'!$Y$5*($B31)^2+'sv13'!$X$5*($B31)^3+'sv13'!$W$5*($B31)^4+'sv13'!$V$5*($B31)^5+'sv13'!$U$5*($B31)^6+'sv13'!$T$5*($B31)^7+'sv13'!$S$5*($B31)^8</f>
        <v>21167.320857342846</v>
      </c>
      <c r="M31" s="5">
        <f>'sv13'!$AA$6+'sv13'!$Z$6*$B31+'sv13'!$Y$6*$B31^2+'sv13'!$X$6*$B31^3+'sv13'!$W$6*$B31^4+'sv13'!$V$6*$B31^5+'sv13'!$U$6*$B31^6+'sv13'!$T$6*$B31^7+'sv13'!$S$6*$B31^8</f>
        <v>304.21960510125609</v>
      </c>
      <c r="O31">
        <f>SQRT(($J31*1000-coord!$B$2)^2+($K31*1000-coord!$C$2)^2+($L31*1000-coord!$D$2)^2)/coord!$B$6</f>
        <v>6.7276291317990983E-2</v>
      </c>
      <c r="Q31" s="5">
        <f>'sv13'!$AA$3+'sv13'!$Z$3*($B31-$O31/3600)+'sv13'!$Y$3*($B31-$O31/3600)^2+'sv13'!$X$3*($B31-$O31/3600)^3+'sv13'!$W$3*($B31-$O31/3600)^4+'sv13'!$V$3*($B31-$O31/3600)^5+'sv13'!$U$3*($B31-$O31/3600)^6+'sv13'!$T$3*($B31-$O31/3600)^7+'sv13'!$S$3*($B31-$O31/3600)^8+K31*coord!$B$7*O31</f>
        <v>15372.145164687419</v>
      </c>
      <c r="R31" s="5">
        <f>'sv13'!$AA$4+'sv13'!$Z$4*($B31-$O31/3600)+'sv13'!$Y$4*($B31-$O31/3600)^2+'sv13'!$X$4*($B31-$O31/3600)^3+'sv13'!$W$4*($B31-$O31/3600)^4+'sv13'!$V$4*($B31-$O31/3600)^5+'sv13'!$U$4*($B31-$O31/3600)^6+'sv13'!$T$4*($B31-$O31/3600)^7+'sv13'!$S$4*($B31-$O31/3600)^8-J31*coord!$B$7*O31</f>
        <v>3925.9453634540869</v>
      </c>
      <c r="S31" s="5">
        <f>'sv13'!$AA$5+'sv13'!$Z$5*($B31-$O31/3600)+'sv13'!$Y$5*($B31-$O31/3600)^2+'sv13'!$X$5*($B31-$O31/3600)^3+'sv13'!$W$5*($B31-$O31/3600)^4+'sv13'!$V$5*($B31-$O31/3600)^5+'sv13'!$U$5*($B31-$O31/3600)^6+'sv13'!$T$5*($B31-$O31/3600)^7+'sv13'!$S$5*($B31-$O31/3600)^8</f>
        <v>21167.256558928919</v>
      </c>
      <c r="T31">
        <f>coord!$B$6*M31/10^6</f>
        <v>91202.743185094907</v>
      </c>
      <c r="U31">
        <f>SQRT(($Q31*1000+coord!$B$7*$O31*$R31*1000-coord!$B$2)^2+($R31*1000-coord!$B$7*$O31*$Q31*1000-coord!$C$2)^2+($S31*1000-coord!$D$2)^2)</f>
        <v>20168917.580330629</v>
      </c>
      <c r="V31" s="3">
        <f>$D31-(U31-$T31)-coord!$E$2</f>
        <v>-6.3941455334424973</v>
      </c>
      <c r="W31" s="3"/>
      <c r="Y31">
        <f>-(Q31*1000-coord!$B$2)/$U31</f>
        <v>-0.54456402779882696</v>
      </c>
      <c r="Z31">
        <f>-(R31*1000-coord!$C$2)/$U31</f>
        <v>-0.14881191012358161</v>
      </c>
      <c r="AA31">
        <f>-(S31*1000-coord!$D$2)/$U31</f>
        <v>-0.82541208363428764</v>
      </c>
      <c r="AB31">
        <v>1</v>
      </c>
      <c r="BA31">
        <f>SQRT(($Q31*1000+coord!$B$7*$O31*$R31*1000-coord!$B$2-AX$26)^2+($R31*1000-coord!$B$7*$O31*$Q31*1000-coord!$C$2-AX$27)^2+($S31*1000-coord!$D$2-AX$28)^2)</f>
        <v>20168902.742343642</v>
      </c>
      <c r="BB31" s="3">
        <f t="shared" si="6"/>
        <v>1.4360651506262343</v>
      </c>
      <c r="BD31" s="1"/>
      <c r="BE31" s="1"/>
      <c r="BF31" s="1"/>
      <c r="CD31" s="1"/>
      <c r="CE31" s="1"/>
      <c r="CF31" s="1"/>
    </row>
    <row r="32" spans="1:108">
      <c r="A32">
        <v>6</v>
      </c>
      <c r="B32">
        <f t="shared" si="5"/>
        <v>0.3</v>
      </c>
      <c r="C32">
        <v>7</v>
      </c>
      <c r="D32">
        <v>22134766.234999999</v>
      </c>
      <c r="E32">
        <v>116318982.43449</v>
      </c>
      <c r="F32">
        <v>3080.386</v>
      </c>
      <c r="G32">
        <v>22134765.302000001</v>
      </c>
      <c r="H32">
        <v>90638168.138469994</v>
      </c>
      <c r="J32" s="5">
        <f>'sv07'!$AA$3+'sv07'!$Z$3*($B32)+'sv07'!$Y$3*($B32)^2+'sv07'!$X$3*($B32)^3+'sv07'!$W$3*($B32)^4+'sv07'!$V$3*($B32)^5+'sv07'!$U$3*($B32)^6+'sv07'!$T$3*($B32)^7+'sv07'!$S$3*($B32)^8</f>
        <v>25760.102459397764</v>
      </c>
      <c r="K32" s="5">
        <f>'sv07'!$AA$4+'sv07'!$Z$4*($B32)+'sv07'!$Y$4*($B32)^2+'sv07'!$X$4*($B32)^3+'sv07'!$W$4*($B32)^4+'sv07'!$V$4*($B32)^5+'sv07'!$U$4*($B32)^6+'sv07'!$T$4*($B32)^7+'sv07'!$S$4*($B32)^8</f>
        <v>6341.0647468712896</v>
      </c>
      <c r="L32" s="5">
        <f>'sv07'!$AA$5+'sv07'!$Z$5*($B32)+'sv07'!$Y$5*($B32)^2+'sv07'!$X$5*($B32)^3+'sv07'!$W$5*($B32)^4+'sv07'!$V$5*($B32)^5+'sv07'!$U$5*($B32)^6+'sv07'!$T$5*($B32)^7+'sv07'!$S$5*($B32)^8</f>
        <v>2552.3617730114584</v>
      </c>
      <c r="M32" s="5">
        <f>'sv07'!$AA$6+'sv07'!$Z$6*$B32+'sv07'!$Y$6*$B32^2+'sv07'!$X$6*$B32^3+'sv07'!$W$6*$B32^4+'sv07'!$V$6*$B32^5+'sv07'!$U$6*$B32^6+'sv07'!$T$6*$B32^7+'sv07'!$S$6*$B32^8</f>
        <v>-0.63760314227516568</v>
      </c>
      <c r="O32">
        <f>SQRT(($J32*1000-coord!$B$2)^2+($K32*1000-coord!$C$2)^2+($L32*1000-coord!$D$2)^2)/coord!$B$6</f>
        <v>7.3832859972555551E-2</v>
      </c>
      <c r="Q32" s="5">
        <f>'sv07'!$AA$3+'sv07'!$Z$3*($B32-$O32/3600)+'sv07'!$Y$3*($B32-$O32/3600)^2+'sv07'!$X$3*($B32-$O32/3600)^3+'sv07'!$W$3*($B32-$O32/3600)^4+'sv07'!$V$3*($B32-$O32/3600)^5+'sv07'!$U$3*($B32-$O32/3600)^6+'sv07'!$T$3*($B32-$O32/3600)^7+'sv07'!$S$3*($B32-$O32/3600)^8+K32*coord!$B$7*O32</f>
        <v>25760.163111778074</v>
      </c>
      <c r="R32" s="5">
        <f>'sv07'!$AA$4+'sv07'!$Z$4*($B32-$O32/3600)+'sv07'!$Y$4*($B32-$O32/3600)^2+'sv07'!$X$4*($B32-$O32/3600)^3+'sv07'!$W$4*($B32-$O32/3600)^4+'sv07'!$V$4*($B32-$O32/3600)^5+'sv07'!$U$4*($B32-$O32/3600)^6+'sv07'!$T$4*($B32-$O32/3600)^7+'sv07'!$S$4*($B32-$O32/3600)^8-J32*coord!$B$7*O32</f>
        <v>6340.9133837181789</v>
      </c>
      <c r="S32" s="5">
        <f>'sv07'!$AA$5+'sv07'!$Z$5*($B32-$O32/3600)+'sv07'!$Y$5*($B32-$O32/3600)^2+'sv07'!$X$5*($B32-$O32/3600)^3+'sv07'!$W$5*($B32-$O32/3600)^4+'sv07'!$V$5*($B32-$O32/3600)^5+'sv07'!$U$5*($B32-$O32/3600)^6+'sv07'!$T$5*($B32-$O32/3600)^7+'sv07'!$S$5*($B32-$O32/3600)^8</f>
        <v>2552.1279655042517</v>
      </c>
      <c r="T32">
        <f>coord!$B$6*M32/10^6</f>
        <v>-191.14861325119563</v>
      </c>
      <c r="U32">
        <f>SQRT(($Q32*1000+coord!$B$7*$O32*$R32*1000-coord!$B$2)^2+($R32*1000-coord!$B$7*$O32*$Q32*1000-coord!$C$2)^2+($S32*1000-coord!$D$2)^2)</f>
        <v>22134575.899503056</v>
      </c>
      <c r="V32" s="3">
        <f>$D32-(U32-$T32)-coord!$E$2</f>
        <v>-0.81311630830168724</v>
      </c>
      <c r="W32" s="3" t="s">
        <v>127</v>
      </c>
      <c r="X32" s="1" t="s">
        <v>128</v>
      </c>
      <c r="Y32">
        <f>-(Q32*1000-coord!$B$2)/$U32</f>
        <v>-0.9655158986559973</v>
      </c>
      <c r="Z32">
        <f>-(R32*1000-coord!$C$2)/$U32</f>
        <v>-0.24470056237399068</v>
      </c>
      <c r="AA32">
        <f>-(S32*1000-coord!$D$2)/$U32</f>
        <v>8.8886288932236532E-2</v>
      </c>
      <c r="AB32">
        <v>1</v>
      </c>
      <c r="BA32">
        <f>SQRT(($Q32*1000+coord!$B$7*$O32*$R32*1000-coord!$B$2-AX$26)^2+($R32*1000-coord!$B$7*$O32*$Q32*1000-coord!$C$2-AX$27)^2+($S32*1000-coord!$D$2-AX$28)^2)</f>
        <v>22134573.92926323</v>
      </c>
      <c r="BB32" s="3">
        <f t="shared" si="6"/>
        <v>-5.8506527857703645</v>
      </c>
      <c r="BC32" s="3" t="s">
        <v>127</v>
      </c>
      <c r="BD32" s="1" t="s">
        <v>128</v>
      </c>
      <c r="BE32" s="1"/>
      <c r="BF32" s="1"/>
      <c r="CD32" s="1"/>
      <c r="CE32" s="1"/>
      <c r="CF32" s="1"/>
    </row>
    <row r="33" spans="1:108">
      <c r="V33" s="3"/>
      <c r="W33" s="3">
        <f>AVERAGE($V26:$V32)</f>
        <v>-4.9798737567450315</v>
      </c>
      <c r="X33" s="1">
        <f>SQRT(DEVSQ($V26:$V32)/6)</f>
        <v>15.545652437490073</v>
      </c>
      <c r="BB33" s="3"/>
      <c r="BC33" s="3">
        <f>AVERAGE($BB26:$BB32)</f>
        <v>6.1522040214510661E-5</v>
      </c>
      <c r="BD33" s="1">
        <f>SQRT(DEVSQ($BB26:$BB32)/6)</f>
        <v>5.0153348617891389</v>
      </c>
      <c r="BE33" s="1"/>
      <c r="BF33" s="1"/>
      <c r="CD33" s="1"/>
      <c r="CE33" s="1"/>
      <c r="CF33" s="1"/>
    </row>
    <row r="34" spans="1:108">
      <c r="A34">
        <v>8</v>
      </c>
      <c r="B34">
        <f t="shared" ref="B34:B40" si="7">(60-45)/60+30*A34/3600</f>
        <v>0.31666666666666665</v>
      </c>
      <c r="C34">
        <v>2</v>
      </c>
      <c r="D34">
        <v>22816062.866999999</v>
      </c>
      <c r="E34">
        <v>119899225.43347999</v>
      </c>
      <c r="F34">
        <v>2495.8049999999998</v>
      </c>
      <c r="G34">
        <v>22816060.546999998</v>
      </c>
      <c r="H34">
        <v>93427957.026460007</v>
      </c>
      <c r="J34" s="5">
        <f>'sv02'!$AA$3+'sv02'!$Z$3*($B34)+'sv02'!$Y$3*($B34)^2+'sv02'!$X$3*($B34)^3+'sv02'!$W$3*($B34)^4+'sv02'!$V$3*($B34)^5+'sv02'!$U$3*($B34)^6+'sv02'!$T$3*($B34)^7+'sv02'!$S$3*($B34)^8</f>
        <v>6215.9668751770196</v>
      </c>
      <c r="K34" s="5">
        <f>'sv02'!$AA$4+'sv02'!$Z$4*($B34)+'sv02'!$Y$4*($B34)^2+'sv02'!$X$4*($B34)^3+'sv02'!$W$4*($B34)^4+'sv02'!$V$4*($B34)^5+'sv02'!$U$4*($B34)^6+'sv02'!$T$4*($B34)^7+'sv02'!$S$4*($B34)^8</f>
        <v>-14685.137733576979</v>
      </c>
      <c r="L34" s="5">
        <f>'sv02'!$AA$5+'sv02'!$Z$5*($B34)+'sv02'!$Y$5*($B34)^2+'sv02'!$X$5*($B34)^3+'sv02'!$W$5*($B34)^4+'sv02'!$V$5*($B34)^5+'sv02'!$U$5*($B34)^6+'sv02'!$T$5*($B34)^7+'sv02'!$S$5*($B34)^8</f>
        <v>21165.888519391774</v>
      </c>
      <c r="M34" s="5">
        <f>'sv02'!$AA$6+'sv02'!$Z$6*$B34+'sv02'!$Y$6*$B34^2+'sv02'!$X$6*$B34^3+'sv02'!$W$6*$B34^4+'sv02'!$V$6*$B34^5+'sv02'!$U$6*$B34^6+'sv02'!$T$6*$B34^7+'sv02'!$S$6*$B34^8</f>
        <v>257.59056740284939</v>
      </c>
      <c r="O34">
        <f>SQRT(($J34*1000-coord!$B$2)^2+($K34*1000-coord!$C$2)^2+($L34*1000-coord!$D$2)^2)/coord!$B$6</f>
        <v>7.6363636842621652E-2</v>
      </c>
      <c r="Q34" s="5">
        <f>'sv02'!$AA$3+'sv02'!$Z$3*($B34-$O34/3600)+'sv02'!$Y$3*($B34-$O34/3600)^2+'sv02'!$X$3*($B34-$O34/3600)^3+'sv02'!$W$3*($B34-$O34/3600)^4+'sv02'!$V$3*($B34-$O34/3600)^5+'sv02'!$U$3*($B34-$O34/3600)^6+'sv02'!$T$3*($B34-$O34/3600)^7+'sv02'!$S$3*($B34-$O34/3600)^8+K34*coord!$B$7*O34</f>
        <v>6215.6816219593356</v>
      </c>
      <c r="R34" s="5">
        <f>'sv02'!$AA$4+'sv02'!$Z$4*($B34-$O34/3600)+'sv02'!$Y$4*($B34-$O34/3600)^2+'sv02'!$X$4*($B34-$O34/3600)^3+'sv02'!$W$4*($B34-$O34/3600)^4+'sv02'!$V$4*($B34-$O34/3600)^5+'sv02'!$U$4*($B34-$O34/3600)^6+'sv02'!$T$4*($B34-$O34/3600)^7+'sv02'!$S$4*($B34-$O34/3600)^8-J34*coord!$B$7*O34</f>
        <v>-14685.209273721648</v>
      </c>
      <c r="S34" s="5">
        <f>'sv02'!$AA$5+'sv02'!$Z$5*($B34-$O34/3600)+'sv02'!$Y$5*($B34-$O34/3600)^2+'sv02'!$X$5*($B34-$O34/3600)^3+'sv02'!$W$5*($B34-$O34/3600)^4+'sv02'!$V$5*($B34-$O34/3600)^5+'sv02'!$U$5*($B34-$O34/3600)^6+'sv02'!$T$5*($B34-$O34/3600)^7+'sv02'!$S$5*($B34-$O34/3600)^8</f>
        <v>21165.926103480986</v>
      </c>
      <c r="T34">
        <f>coord!$B$6*M34/10^6</f>
        <v>77223.709359314889</v>
      </c>
      <c r="U34">
        <f>SQRT(($Q34*1000+coord!$B$7*$O34*$R34*1000-coord!$B$2)^2+($R34*1000-coord!$B$7*$O34*$Q34*1000-coord!$C$2)^2+($S34*1000-coord!$D$2)^2)</f>
        <v>22893312.809943181</v>
      </c>
      <c r="V34" s="3">
        <f>$D34-(U34-$T34)-coord!$E$2</f>
        <v>-26.233583867549896</v>
      </c>
      <c r="W34" s="3"/>
      <c r="Y34">
        <f>-(Q34*1000-coord!$B$2)/$U34</f>
        <v>-7.9796378371500082E-2</v>
      </c>
      <c r="Z34">
        <f>-(R34*1000-coord!$C$2)/$U34</f>
        <v>0.68184887073844114</v>
      </c>
      <c r="AA34">
        <f>-(S34*1000-coord!$D$2)/$U34</f>
        <v>-0.72712664905146607</v>
      </c>
      <c r="AB34">
        <v>1</v>
      </c>
      <c r="AD34">
        <f t="array" ref="AD34:AJ37">TRANSPOSE(Y34:AB40)</f>
        <v>-7.9796378371500082E-2</v>
      </c>
      <c r="AE34">
        <v>-0.23813939660308089</v>
      </c>
      <c r="AF34">
        <v>-0.13148032403284327</v>
      </c>
      <c r="AG34">
        <v>-0.78519171692608869</v>
      </c>
      <c r="AH34">
        <v>-0.42971715940186128</v>
      </c>
      <c r="AI34">
        <v>-0.53895976253559363</v>
      </c>
      <c r="AJ34">
        <v>-0.96604102561158722</v>
      </c>
      <c r="AL34">
        <f t="array" ref="AL34:AO37">MMULT(AD34:AJ37,Y34:AB40)</f>
        <v>2.1052606680343229</v>
      </c>
      <c r="AM34">
        <v>0.36592313068550947</v>
      </c>
      <c r="AN34">
        <v>1.1203430141620279</v>
      </c>
      <c r="AO34">
        <v>-3.1693257634825551</v>
      </c>
      <c r="AQ34">
        <f t="array" ref="AQ34:AT37">MINVERSE(AL34:AO37)</f>
        <v>2.47594346742336</v>
      </c>
      <c r="AR34">
        <v>-0.11434058908260605</v>
      </c>
      <c r="AS34">
        <v>1.3795795080288076</v>
      </c>
      <c r="AT34">
        <v>1.803622985710795</v>
      </c>
      <c r="AV34">
        <f t="array" ref="AV34:AV37">MMULT(AD34:AJ37,V34:V40)</f>
        <v>7.201876843106449</v>
      </c>
      <c r="AX34">
        <f t="array" ref="AX34:AX37">MMULT(AQ34:AT37,AV34:AV37)</f>
        <v>8.5634373738186298</v>
      </c>
      <c r="BA34">
        <f>SQRT(($Q34*1000+coord!$B$7*$O34*$R34*1000-coord!$B$2-AX$34)^2+($R34*1000-coord!$B$7*$O34*$Q34*1000-coord!$C$2-AX$35)^2+($S34*1000-coord!$D$2-AX$36)^2)</f>
        <v>22893286.248910051</v>
      </c>
      <c r="BB34" s="3">
        <f>$D34-(BA34-$T34)-AX$37</f>
        <v>-6.4932467744181963</v>
      </c>
      <c r="BD34" s="1">
        <f>coord!$B$2+$AX34</f>
        <v>4388886.7342373738</v>
      </c>
      <c r="BE34" s="1">
        <f>coord!$C$2+$AX35</f>
        <v>924549.68288056366</v>
      </c>
      <c r="BF34" s="1">
        <f>coord!$D$2+$AX36</f>
        <v>4519604.6113817338</v>
      </c>
      <c r="BG34" s="1">
        <f>coord!$E$2+$AX37</f>
        <v>6.8206960365603777</v>
      </c>
      <c r="BH34" s="8">
        <f>lat($BD34,$BE34,$BF34)</f>
        <v>45.411247891161452</v>
      </c>
      <c r="BI34" s="8">
        <f>lon($BD34,$BE34,$BF34)</f>
        <v>11.895827352338866</v>
      </c>
      <c r="BJ34" s="6">
        <f>h($BD34,$BE34,$BF34)</f>
        <v>76.667456791736186</v>
      </c>
      <c r="BL34">
        <f>grado($BH34)</f>
        <v>45</v>
      </c>
      <c r="BM34">
        <f>MINUTOprimo($BH34)</f>
        <v>24</v>
      </c>
      <c r="BN34">
        <f>MINUTOsecondo($BH34)</f>
        <v>40.492408181225983</v>
      </c>
      <c r="BO34">
        <f>grado($BI34)</f>
        <v>11</v>
      </c>
      <c r="BP34">
        <f>MINUTOprimo($BI34)</f>
        <v>53</v>
      </c>
      <c r="BQ34">
        <f>MINUTOsecondo($BI34)</f>
        <v>44.978468419918443</v>
      </c>
      <c r="BS34">
        <f>-SIN(RADIANS(BH34))*COS(RADIANS(BI34))</f>
        <v>-0.69686944223290626</v>
      </c>
      <c r="BT34">
        <f>-SIN(RADIANS(BI34))</f>
        <v>-0.20613292352377019</v>
      </c>
      <c r="BU34">
        <f>COS(RADIANS(BH34))*COS(RADIANS(BI34))</f>
        <v>0.68693682265659728</v>
      </c>
      <c r="BW34" t="s">
        <v>93</v>
      </c>
      <c r="BX34">
        <f t="array" ref="BX34:BZ36">MINVERSE(BS34:BU36)</f>
        <v>-0.69686944223290637</v>
      </c>
      <c r="BY34">
        <v>-0.14680042134591542</v>
      </c>
      <c r="BZ34">
        <v>0.70201325968578387</v>
      </c>
      <c r="CA34">
        <v>0</v>
      </c>
      <c r="CB34" s="1">
        <f t="array" ref="CB34:CB36">MMULT(BX34:BZ36,AX34:AX36)</f>
        <v>8.5151097191676293</v>
      </c>
      <c r="CD34" s="1">
        <f t="array" ref="CD34:CF34">TRANSPOSE(CB34:CB36)</f>
        <v>8.5151097191676293</v>
      </c>
      <c r="CE34" s="1">
        <v>-21.854616669633433</v>
      </c>
      <c r="CF34" s="1">
        <v>14.546317475194307</v>
      </c>
      <c r="CH34">
        <f t="array" ref="CH34:CK37">MMULT(BX34:CA37,AQ34:AT37)</f>
        <v>-0.7401409890622449</v>
      </c>
      <c r="CI34">
        <v>0.18203454439222827</v>
      </c>
      <c r="CJ34">
        <v>0.60837753568872199</v>
      </c>
      <c r="CK34">
        <v>-3.569153404308878E-2</v>
      </c>
      <c r="CM34">
        <f t="array" ref="CM34:CP37">TRANSPOSE(BX34:CA37)</f>
        <v>-0.69686944223290637</v>
      </c>
      <c r="CN34">
        <v>-0.20613292352377022</v>
      </c>
      <c r="CO34">
        <v>0.6869368226565975</v>
      </c>
      <c r="CP34">
        <v>0</v>
      </c>
      <c r="CR34" s="5">
        <f t="array" ref="CR34:CU37">MMULT(CH34:CK37,CM34:CP37)</f>
        <v>0.91614798735367142</v>
      </c>
      <c r="CS34" s="5">
        <v>0.33069259634353476</v>
      </c>
      <c r="CT34" s="5">
        <v>-4.882373361589265E-2</v>
      </c>
      <c r="CU34" s="5">
        <v>-3.569153404308878E-2</v>
      </c>
      <c r="CW34" s="3">
        <f>SQRT(CR34+CS35)</f>
        <v>1.2361101194657977</v>
      </c>
      <c r="CX34" s="3">
        <f>CT36</f>
        <v>3.7165074287697797</v>
      </c>
      <c r="CY34" s="3">
        <f>CU37</f>
        <v>1.825630894268774</v>
      </c>
      <c r="CZ34" s="3">
        <f>BD41</f>
        <v>5.046425579258516</v>
      </c>
      <c r="DA34">
        <v>6</v>
      </c>
      <c r="DB34" s="6">
        <f>CY34*DA34*CZ34</f>
        <v>55.277462658735246</v>
      </c>
      <c r="DC34">
        <v>5.33</v>
      </c>
      <c r="DD34" s="6">
        <f>CZ34*DC34*SQRT(0.5*(CR34+CS35)+SQRT((0.5*(CR34-CS35))^2+CS34^2))</f>
        <v>28.567132934650186</v>
      </c>
    </row>
    <row r="35" spans="1:108">
      <c r="A35">
        <v>8</v>
      </c>
      <c r="B35">
        <f t="shared" si="7"/>
        <v>0.31666666666666665</v>
      </c>
      <c r="C35">
        <v>23</v>
      </c>
      <c r="D35">
        <v>20933462.804000001</v>
      </c>
      <c r="E35">
        <v>110006089.01749</v>
      </c>
      <c r="F35">
        <v>-1791.0119999999999</v>
      </c>
      <c r="G35">
        <v>20933459.704999998</v>
      </c>
      <c r="H35">
        <v>85719017.03847</v>
      </c>
      <c r="J35" s="5">
        <f>'sv23'!$AA$3+'sv23'!$Z$3*($B35)+'sv23'!$Y$3*($B35)^2+'sv23'!$X$3*($B35)^3+'sv23'!$W$3*($B35)^4+'sv23'!$V$3*($B35)^5+'sv23'!$U$3*($B35)^6+'sv23'!$T$3*($B35)^7+'sv23'!$S$3*($B35)^8</f>
        <v>9400.1910697060575</v>
      </c>
      <c r="K35" s="5">
        <f>'sv23'!$AA$4+'sv23'!$Z$4*($B35)+'sv23'!$Y$4*($B35)^2+'sv23'!$X$4*($B35)^3+'sv23'!$W$4*($B35)^4+'sv23'!$V$4*($B35)^5+'sv23'!$U$4*($B35)^6+'sv23'!$T$4*($B35)^7+'sv23'!$S$4*($B35)^8</f>
        <v>12018.436760376326</v>
      </c>
      <c r="L35" s="5">
        <f>'sv23'!$AA$5+'sv23'!$Z$5*($B35)+'sv23'!$Y$5*($B35)^2+'sv23'!$X$5*($B35)^3+'sv23'!$W$5*($B35)^4+'sv23'!$V$5*($B35)^5+'sv23'!$U$5*($B35)^6+'sv23'!$T$5*($B35)^7+'sv23'!$S$5*($B35)^8</f>
        <v>21685.884360008171</v>
      </c>
      <c r="M35" s="5">
        <f>'sv23'!$AA$6+'sv23'!$Z$6*$B35+'sv23'!$Y$6*$B35^2+'sv23'!$X$6*$B35^3+'sv23'!$W$6*$B35^4+'sv23'!$V$6*$B35^5+'sv23'!$U$6*$B35^6+'sv23'!$T$6*$B35^7+'sv23'!$S$6*$B35^8</f>
        <v>370.05730534996997</v>
      </c>
      <c r="O35">
        <f>SQRT(($J35*1000-coord!$B$2)^2+($K35*1000-coord!$C$2)^2+($L35*1000-coord!$D$2)^2)/coord!$B$6</f>
        <v>7.0196727443758461E-2</v>
      </c>
      <c r="Q35" s="5">
        <f>'sv23'!$AA$3+'sv23'!$Z$3*($B35-$O35/3600)+'sv23'!$Y$3*($B35-$O35/3600)^2+'sv23'!$X$3*($B35-$O35/3600)^3+'sv23'!$W$3*($B35-$O35/3600)^4+'sv23'!$V$3*($B35-$O35/3600)^5+'sv23'!$U$3*($B35-$O35/3600)^6+'sv23'!$T$3*($B35-$O35/3600)^7+'sv23'!$S$3*($B35-$O35/3600)^8+K35*coord!$B$7*O35</f>
        <v>9400.3798667735955</v>
      </c>
      <c r="R35" s="5">
        <f>'sv23'!$AA$4+'sv23'!$Z$4*($B35-$O35/3600)+'sv23'!$Y$4*($B35-$O35/3600)^2+'sv23'!$X$4*($B35-$O35/3600)^3+'sv23'!$W$4*($B35-$O35/3600)^4+'sv23'!$V$4*($B35-$O35/3600)^5+'sv23'!$U$4*($B35-$O35/3600)^6+'sv23'!$T$4*($B35-$O35/3600)^7+'sv23'!$S$4*($B35-$O35/3600)^8-J35*coord!$B$7*O35</f>
        <v>12018.242427259553</v>
      </c>
      <c r="S35" s="5">
        <f>'sv23'!$AA$5+'sv23'!$Z$5*($B35-$O35/3600)+'sv23'!$Y$5*($B35-$O35/3600)^2+'sv23'!$X$5*($B35-$O35/3600)^3+'sv23'!$W$5*($B35-$O35/3600)^4+'sv23'!$V$5*($B35-$O35/3600)^5+'sv23'!$U$5*($B35-$O35/3600)^6+'sv23'!$T$5*($B35-$O35/3600)^7+'sv23'!$S$5*($B35-$O35/3600)^8</f>
        <v>21685.912365509688</v>
      </c>
      <c r="T35">
        <f>coord!$B$6*M35/10^6</f>
        <v>110940.38917172405</v>
      </c>
      <c r="U35">
        <f>SQRT(($Q35*1000+coord!$B$7*$O35*$R35*1000-coord!$B$2)^2+($R35*1000-coord!$B$7*$O35*$Q35*1000-coord!$C$2)^2+($S35*1000-coord!$D$2)^2)</f>
        <v>21044404.107257068</v>
      </c>
      <c r="V35" s="3">
        <f>$D35-(U35-$T35)-coord!$E$2</f>
        <v>-0.91408534348011017</v>
      </c>
      <c r="W35" s="3"/>
      <c r="Y35">
        <f>-(Q35*1000-coord!$B$2)/$U35</f>
        <v>-0.23813939660308089</v>
      </c>
      <c r="Z35">
        <f>-(R35*1000-coord!$C$2)/$U35</f>
        <v>-0.52715544510162449</v>
      </c>
      <c r="AA35">
        <f>-(S35*1000-coord!$D$2)/$U35</f>
        <v>-0.81571918138988586</v>
      </c>
      <c r="AB35">
        <v>1</v>
      </c>
      <c r="AD35">
        <v>0.68184887073844114</v>
      </c>
      <c r="AE35">
        <v>-0.52715544510162449</v>
      </c>
      <c r="AF35">
        <v>0.80140412452435483</v>
      </c>
      <c r="AG35">
        <v>0.38953462006805917</v>
      </c>
      <c r="AH35">
        <v>-0.89692318340839927</v>
      </c>
      <c r="AI35">
        <v>-0.15472129213295319</v>
      </c>
      <c r="AJ35">
        <v>-0.24555077158180802</v>
      </c>
      <c r="AL35">
        <v>0.36592313068550947</v>
      </c>
      <c r="AM35">
        <v>2.4255015934629629</v>
      </c>
      <c r="AN35">
        <v>-0.51902311369994614</v>
      </c>
      <c r="AO35">
        <v>4.8436923106070201E-2</v>
      </c>
      <c r="AQ35">
        <v>-0.11434058908260587</v>
      </c>
      <c r="AR35">
        <v>0.48092393091475977</v>
      </c>
      <c r="AS35">
        <v>0.24636844840321734</v>
      </c>
      <c r="AT35">
        <v>6.6664530979846454E-2</v>
      </c>
      <c r="AV35">
        <v>-54.81171219468203</v>
      </c>
      <c r="AX35">
        <v>-20.530319436295116</v>
      </c>
      <c r="BA35">
        <f>SQRT(($Q35*1000+coord!$B$7*$O35*$R35*1000-coord!$B$2-AX$34)^2+($R35*1000-coord!$B$7*$O35*$Q35*1000-coord!$C$2-AX$35)^2+($S35*1000-coord!$D$2-AX$36)^2)</f>
        <v>21044399.564109631</v>
      </c>
      <c r="BB35" s="3">
        <f t="shared" ref="BB35:BB40" si="8">$D35-(BA35-$T35)-AX$37</f>
        <v>-3.1916339427660319</v>
      </c>
      <c r="BD35" s="1"/>
      <c r="BE35" s="1"/>
      <c r="BF35" s="1"/>
      <c r="BS35">
        <f>-SIN(RADIANS(BH34))*SIN(RADIANS(BI34))</f>
        <v>-0.14680042134591539</v>
      </c>
      <c r="BT35">
        <f>COS(RADIANS(BI34))</f>
        <v>0.97852399962369008</v>
      </c>
      <c r="BU35">
        <f>COS(RADIANS(BH34))*SIN(RADIANS(BI34))</f>
        <v>0.14470804557148229</v>
      </c>
      <c r="BW35" t="s">
        <v>94</v>
      </c>
      <c r="BX35">
        <v>-0.20613292352377022</v>
      </c>
      <c r="BY35">
        <v>0.97852399962369008</v>
      </c>
      <c r="BZ35">
        <v>0</v>
      </c>
      <c r="CA35">
        <v>0</v>
      </c>
      <c r="CB35" s="1">
        <v>-21.854616669633433</v>
      </c>
      <c r="CD35" s="1"/>
      <c r="CE35" s="1"/>
      <c r="CF35" s="1"/>
      <c r="CH35">
        <v>-0.62225847596799833</v>
      </c>
      <c r="CI35">
        <v>0.49416496829848561</v>
      </c>
      <c r="CJ35">
        <v>-4.3299317710863788E-2</v>
      </c>
      <c r="CK35">
        <v>-0.30655323549180069</v>
      </c>
      <c r="CM35">
        <v>-0.14680042134591542</v>
      </c>
      <c r="CN35">
        <v>0.97852399962369008</v>
      </c>
      <c r="CO35">
        <v>0.14470804557148231</v>
      </c>
      <c r="CP35">
        <v>0</v>
      </c>
      <c r="CR35" s="5">
        <v>0.33069259634353487</v>
      </c>
      <c r="CS35" s="5">
        <v>0.61182024009207736</v>
      </c>
      <c r="CT35" s="5">
        <v>-0.38677882343650916</v>
      </c>
      <c r="CU35" s="5">
        <v>-0.30655323549180069</v>
      </c>
    </row>
    <row r="36" spans="1:108">
      <c r="A36">
        <v>8</v>
      </c>
      <c r="B36">
        <f t="shared" si="7"/>
        <v>0.31666666666666665</v>
      </c>
      <c r="C36">
        <v>10</v>
      </c>
      <c r="D36">
        <v>23205723.783</v>
      </c>
      <c r="E36">
        <v>121946898.77048001</v>
      </c>
      <c r="F36">
        <v>3100.18</v>
      </c>
      <c r="G36">
        <v>23205723.370000001</v>
      </c>
      <c r="H36">
        <v>95023560.429450005</v>
      </c>
      <c r="J36" s="5">
        <f>'sv10'!$AA$3+'sv10'!$Z$3*($B36)+'sv10'!$Y$3*($B36)^2+'sv10'!$X$3*($B36)^3+'sv10'!$W$3*($B36)^4+'sv10'!$V$3*($B36)^5+'sv10'!$U$3*($B36)^6+'sv10'!$T$3*($B36)^7+'sv10'!$S$3*($B36)^8</f>
        <v>7438.4542444823328</v>
      </c>
      <c r="K36" s="5">
        <f>'sv10'!$AA$4+'sv10'!$Z$4*($B36)+'sv10'!$Y$4*($B36)^2+'sv10'!$X$4*($B36)^3+'sv10'!$W$4*($B36)^4+'sv10'!$V$4*($B36)^5+'sv10'!$U$4*($B36)^6+'sv10'!$T$4*($B36)^7+'sv10'!$S$4*($B36)^8</f>
        <v>-17662.065096759106</v>
      </c>
      <c r="L36" s="5">
        <f>'sv10'!$AA$5+'sv10'!$Z$5*($B36)+'sv10'!$Y$5*($B36)^2+'sv10'!$X$5*($B36)^3+'sv10'!$W$5*($B36)^4+'sv10'!$V$5*($B36)^5+'sv10'!$U$5*($B36)^6+'sv10'!$T$5*($B36)^7+'sv10'!$S$5*($B36)^8</f>
        <v>18052.556959911763</v>
      </c>
      <c r="M36" s="5">
        <f>'sv10'!$AA$6+'sv10'!$Z$6*$B36+'sv10'!$Y$6*$B36^2+'sv10'!$X$6*$B36^3+'sv10'!$W$6*$B36^4+'sv10'!$V$6*$B36^5+'sv10'!$U$6*$B36^6+'sv10'!$T$6*$B36^7+'sv10'!$S$6*$B36^8</f>
        <v>-43.000798571125515</v>
      </c>
      <c r="O36">
        <f>SQRT(($J36*1000-coord!$B$2)^2+($K36*1000-coord!$C$2)^2+($L36*1000-coord!$D$2)^2)/coord!$B$6</f>
        <v>7.7362723741914594E-2</v>
      </c>
      <c r="Q36" s="5">
        <f>'sv10'!$AA$3+'sv10'!$Z$3*($B36-$O36/3600)+'sv10'!$Y$3*($B36-$O36/3600)^2+'sv10'!$X$3*($B36-$O36/3600)^3+'sv10'!$W$3*($B36-$O36/3600)^4+'sv10'!$V$3*($B36-$O36/3600)^5+'sv10'!$U$3*($B36-$O36/3600)^6+'sv10'!$T$3*($B36-$O36/3600)^7+'sv10'!$S$3*($B36-$O36/3600)^8+K36*coord!$B$7*O36</f>
        <v>7438.2813152667122</v>
      </c>
      <c r="R36" s="5">
        <f>'sv10'!$AA$4+'sv10'!$Z$4*($B36-$O36/3600)+'sv10'!$Y$4*($B36-$O36/3600)^2+'sv10'!$X$4*($B36-$O36/3600)^3+'sv10'!$W$4*($B36-$O36/3600)^4+'sv10'!$V$4*($B36-$O36/3600)^5+'sv10'!$U$4*($B36-$O36/3600)^6+'sv10'!$T$4*($B36-$O36/3600)^7+'sv10'!$S$4*($B36-$O36/3600)^8-J36*coord!$B$7*O36</f>
        <v>-17662.27367610094</v>
      </c>
      <c r="S36" s="5">
        <f>'sv10'!$AA$5+'sv10'!$Z$5*($B36-$O36/3600)+'sv10'!$Y$5*($B36-$O36/3600)^2+'sv10'!$X$5*($B36-$O36/3600)^3+'sv10'!$W$5*($B36-$O36/3600)^4+'sv10'!$V$5*($B36-$O36/3600)^5+'sv10'!$U$5*($B36-$O36/3600)^6+'sv10'!$T$5*($B36-$O36/3600)^7+'sv10'!$S$5*($B36-$O36/3600)^8</f>
        <v>18052.42285255521</v>
      </c>
      <c r="T36">
        <f>coord!$B$6*M36/10^6</f>
        <v>-12891.315099600604</v>
      </c>
      <c r="U36">
        <f>SQRT(($Q36*1000+coord!$B$7*$O36*$R36*1000-coord!$B$2)^2+($R36*1000-coord!$B$7*$O36*$Q36*1000-coord!$C$2)^2+($S36*1000-coord!$D$2)^2)</f>
        <v>23192847.803637777</v>
      </c>
      <c r="V36" s="3">
        <f>$D36-(U36-$T36)-coord!$E$2</f>
        <v>-15.335737377405167</v>
      </c>
      <c r="W36" s="3"/>
      <c r="Y36">
        <f>-(Q36*1000-coord!$B$2)/$U36</f>
        <v>-0.13148032403284327</v>
      </c>
      <c r="Z36">
        <f>-(R36*1000-coord!$C$2)/$U36</f>
        <v>0.80140412452435483</v>
      </c>
      <c r="AA36">
        <f>-(S36*1000-coord!$D$2)/$U36</f>
        <v>-0.58349171662018151</v>
      </c>
      <c r="AB36">
        <v>1</v>
      </c>
      <c r="AD36">
        <v>-0.72712664905146607</v>
      </c>
      <c r="AE36">
        <v>-0.81571918138988586</v>
      </c>
      <c r="AF36">
        <v>-0.58349171662018151</v>
      </c>
      <c r="AG36">
        <v>-0.48138920070301089</v>
      </c>
      <c r="AH36">
        <v>-0.1042769757927535</v>
      </c>
      <c r="AI36">
        <v>-0.82799986959106009</v>
      </c>
      <c r="AJ36">
        <v>8.0434104295511566E-2</v>
      </c>
      <c r="AL36">
        <v>1.1203430141620279</v>
      </c>
      <c r="AM36">
        <v>-0.51902311369994614</v>
      </c>
      <c r="AN36">
        <v>2.4692362094231655</v>
      </c>
      <c r="AO36">
        <v>-3.4595694888528459</v>
      </c>
      <c r="AQ36">
        <v>1.379579508028808</v>
      </c>
      <c r="AR36">
        <v>0.24636844840321709</v>
      </c>
      <c r="AS36">
        <v>2.2876082578774075</v>
      </c>
      <c r="AT36">
        <v>1.7535061827682445</v>
      </c>
      <c r="AV36">
        <v>36.993139431141913</v>
      </c>
      <c r="AX36">
        <v>16.337081734006077</v>
      </c>
      <c r="BA36">
        <f>SQRT(($Q36*1000+coord!$B$7*$O36*$R36*1000-coord!$B$2-AX$34)^2+($R36*1000-coord!$B$7*$O36*$Q36*1000-coord!$C$2-AX$35)^2+($S36*1000-coord!$D$2-AX$36)^2)</f>
        <v>23192820.692079935</v>
      </c>
      <c r="BB36" s="3">
        <f t="shared" si="8"/>
        <v>4.95512442733542</v>
      </c>
      <c r="BD36" s="1"/>
      <c r="BE36" s="1"/>
      <c r="BF36" s="1"/>
      <c r="BS36">
        <f>COS(RADIANS(BH34))</f>
        <v>0.70201325968578376</v>
      </c>
      <c r="BT36">
        <v>0</v>
      </c>
      <c r="BU36">
        <f>SIN(RADIANS(BH34))</f>
        <v>0.71216387385582836</v>
      </c>
      <c r="BW36" t="s">
        <v>95</v>
      </c>
      <c r="BX36">
        <v>0.6869368226565975</v>
      </c>
      <c r="BY36">
        <v>0.14470804557148231</v>
      </c>
      <c r="BZ36">
        <v>0.71216387385582847</v>
      </c>
      <c r="CA36">
        <v>0</v>
      </c>
      <c r="CB36" s="1">
        <v>14.546317475194307</v>
      </c>
      <c r="CD36" s="1"/>
      <c r="CE36" s="1"/>
      <c r="CF36" s="1"/>
      <c r="CH36">
        <v>2.6667574221434398</v>
      </c>
      <c r="CI36">
        <v>0.16650350975682532</v>
      </c>
      <c r="CJ36">
        <v>2.6124874193009266</v>
      </c>
      <c r="CK36">
        <v>2.4974056930119919</v>
      </c>
      <c r="CM36">
        <v>0.70201325968578387</v>
      </c>
      <c r="CN36">
        <v>0</v>
      </c>
      <c r="CO36">
        <v>0.71216387385582847</v>
      </c>
      <c r="CP36">
        <v>0</v>
      </c>
      <c r="CR36" s="5">
        <v>-4.8823733615892984E-2</v>
      </c>
      <c r="CS36" s="5">
        <v>-0.38677882343650949</v>
      </c>
      <c r="CT36" s="5">
        <v>3.7165074287697797</v>
      </c>
      <c r="CU36" s="5">
        <v>2.4974056930119919</v>
      </c>
    </row>
    <row r="37" spans="1:108">
      <c r="A37">
        <v>8</v>
      </c>
      <c r="B37">
        <f t="shared" si="7"/>
        <v>0.31666666666666665</v>
      </c>
      <c r="C37">
        <v>4</v>
      </c>
      <c r="D37">
        <v>21078797.927000001</v>
      </c>
      <c r="E37">
        <v>110769831.14849</v>
      </c>
      <c r="F37">
        <v>-656.72299999999996</v>
      </c>
      <c r="G37">
        <v>21078796.91</v>
      </c>
      <c r="H37">
        <v>86314151.160469994</v>
      </c>
      <c r="J37" s="5">
        <f>'sv04'!$AA$3+'sv04'!$Z$3*($B37)+'sv04'!$Y$3*($B37)^2+'sv04'!$X$3*($B37)^3+'sv04'!$W$3*($B37)^4+'sv04'!$V$3*($B37)^5+'sv04'!$U$3*($B37)^6+'sv04'!$T$3*($B37)^7+'sv04'!$S$3*($B37)^8</f>
        <v>20960.334561337932</v>
      </c>
      <c r="K37" s="5">
        <f>'sv04'!$AA$4+'sv04'!$Z$4*($B37)+'sv04'!$Y$4*($B37)^2+'sv04'!$X$4*($B37)^3+'sv04'!$W$4*($B37)^4+'sv04'!$V$4*($B37)^5+'sv04'!$U$4*($B37)^6+'sv04'!$T$4*($B37)^7+'sv04'!$S$4*($B37)^8</f>
        <v>-7296.322078997161</v>
      </c>
      <c r="L37" s="5">
        <f>'sv04'!$AA$5+'sv04'!$Z$5*($B37)+'sv04'!$Y$5*($B37)^2+'sv04'!$X$5*($B37)^3+'sv04'!$W$5*($B37)^4+'sv04'!$V$5*($B37)^5+'sv04'!$U$5*($B37)^6+'sv04'!$T$5*($B37)^7+'sv04'!$S$5*($B37)^8</f>
        <v>14679.037842515969</v>
      </c>
      <c r="M37" s="5">
        <f>'sv04'!$AA$6+'sv04'!$Z$6*$B37+'sv04'!$Y$6*$B37^2+'sv04'!$X$6*$B37^3+'sv04'!$W$6*$B37^4+'sv04'!$V$6*$B37^5+'sv04'!$U$6*$B37^6+'sv04'!$T$6*$B37^7+'sv04'!$S$6*$B37^8</f>
        <v>86.596847413975738</v>
      </c>
      <c r="O37">
        <f>SQRT(($J37*1000-coord!$B$2)^2+($K37*1000-coord!$C$2)^2+($L37*1000-coord!$D$2)^2)/coord!$B$6</f>
        <v>7.0397882602031878E-2</v>
      </c>
      <c r="Q37" s="5">
        <f>'sv04'!$AA$3+'sv04'!$Z$3*($B37-$O37/3600)+'sv04'!$Y$3*($B37-$O37/3600)^2+'sv04'!$X$3*($B37-$O37/3600)^3+'sv04'!$W$3*($B37-$O37/3600)^4+'sv04'!$V$3*($B37-$O37/3600)^5+'sv04'!$U$3*($B37-$O37/3600)^6+'sv04'!$T$3*($B37-$O37/3600)^7+'sv04'!$S$3*($B37-$O37/3600)^8+K37*coord!$B$7*O37</f>
        <v>20960.169133172916</v>
      </c>
      <c r="R37" s="5">
        <f>'sv04'!$AA$4+'sv04'!$Z$4*($B37-$O37/3600)+'sv04'!$Y$4*($B37-$O37/3600)^2+'sv04'!$X$4*($B37-$O37/3600)^3+'sv04'!$W$4*($B37-$O37/3600)^4+'sv04'!$V$4*($B37-$O37/3600)^5+'sv04'!$U$4*($B37-$O37/3600)^6+'sv04'!$T$4*($B37-$O37/3600)^7+'sv04'!$S$4*($B37-$O37/3600)^8-J37*coord!$B$7*O37</f>
        <v>-7296.4685342997063</v>
      </c>
      <c r="S37" s="5">
        <f>'sv04'!$AA$5+'sv04'!$Z$5*($B37-$O37/3600)+'sv04'!$Y$5*($B37-$O37/3600)^2+'sv04'!$X$5*($B37-$O37/3600)^3+'sv04'!$W$5*($B37-$O37/3600)^4+'sv04'!$V$5*($B37-$O37/3600)^5+'sv04'!$U$5*($B37-$O37/3600)^6+'sv04'!$T$5*($B37-$O37/3600)^7+'sv04'!$S$5*($B37-$O37/3600)^8</f>
        <v>14679.196862917644</v>
      </c>
      <c r="T37">
        <f>coord!$B$6*M37/10^6</f>
        <v>25961.081741286733</v>
      </c>
      <c r="U37">
        <f>SQRT(($Q37*1000+coord!$B$7*$O37*$R37*1000-coord!$B$2)^2+($R37*1000-coord!$B$7*$O37*$Q37*1000-coord!$C$2)^2+($S37*1000-coord!$D$2)^2)</f>
        <v>21104770.472168386</v>
      </c>
      <c r="V37" s="3">
        <f>$D37-(U37-$T37)-coord!$E$2</f>
        <v>-11.463427096605301</v>
      </c>
      <c r="W37" s="3"/>
      <c r="Y37">
        <f>-(Q37*1000-coord!$B$2)/$U37</f>
        <v>-0.78519171692608869</v>
      </c>
      <c r="Z37">
        <f>-(R37*1000-coord!$C$2)/$U37</f>
        <v>0.38953462006805917</v>
      </c>
      <c r="AA37">
        <f>-(S37*1000-coord!$D$2)/$U37</f>
        <v>-0.48138920070301089</v>
      </c>
      <c r="AB37">
        <v>1</v>
      </c>
      <c r="AD37">
        <v>1</v>
      </c>
      <c r="AE37">
        <v>1</v>
      </c>
      <c r="AF37">
        <v>1</v>
      </c>
      <c r="AG37">
        <v>1</v>
      </c>
      <c r="AH37">
        <v>1</v>
      </c>
      <c r="AI37">
        <v>1</v>
      </c>
      <c r="AJ37">
        <v>1</v>
      </c>
      <c r="AL37">
        <v>-3.1693257634825551</v>
      </c>
      <c r="AM37">
        <v>4.8436923106070201E-2</v>
      </c>
      <c r="AN37">
        <v>-3.4595694888528459</v>
      </c>
      <c r="AO37">
        <v>7</v>
      </c>
      <c r="AQ37">
        <v>1.8036229857107953</v>
      </c>
      <c r="AR37">
        <v>6.6664530979846245E-2</v>
      </c>
      <c r="AS37">
        <v>1.7535061827682445</v>
      </c>
      <c r="AT37">
        <v>1.825630894268774</v>
      </c>
      <c r="AV37">
        <v>-36.909145444631577</v>
      </c>
      <c r="AX37">
        <v>6.8206960365603777</v>
      </c>
      <c r="BA37">
        <f>SQRT(($Q37*1000+coord!$B$7*$O37*$R37*1000-coord!$B$2-AX$34)^2+($R37*1000-coord!$B$7*$O37*$Q37*1000-coord!$C$2-AX$35)^2+($S37*1000-coord!$D$2-AX$36)^2)</f>
        <v>21104747.886379879</v>
      </c>
      <c r="BB37" s="3">
        <f t="shared" si="8"/>
        <v>4.3016653738488344</v>
      </c>
      <c r="BD37" s="1"/>
      <c r="BE37" s="1"/>
      <c r="BF37" s="1"/>
      <c r="BX37">
        <v>0</v>
      </c>
      <c r="BY37">
        <v>0</v>
      </c>
      <c r="BZ37">
        <v>0</v>
      </c>
      <c r="CA37">
        <v>1</v>
      </c>
      <c r="CD37" s="1"/>
      <c r="CE37" s="1"/>
      <c r="CF37" s="1"/>
      <c r="CH37">
        <v>1.8036229857107953</v>
      </c>
      <c r="CI37">
        <v>6.6664530979846245E-2</v>
      </c>
      <c r="CJ37">
        <v>1.7535061827682445</v>
      </c>
      <c r="CK37">
        <v>1.825630894268774</v>
      </c>
      <c r="CM37">
        <v>0</v>
      </c>
      <c r="CN37">
        <v>0</v>
      </c>
      <c r="CO37">
        <v>0</v>
      </c>
      <c r="CP37">
        <v>1</v>
      </c>
      <c r="CR37" s="5">
        <v>-3.5691534043089002E-2</v>
      </c>
      <c r="CS37" s="5">
        <v>-0.30655323549180091</v>
      </c>
      <c r="CT37" s="5">
        <v>2.4974056930119919</v>
      </c>
      <c r="CU37" s="5">
        <v>1.825630894268774</v>
      </c>
    </row>
    <row r="38" spans="1:108">
      <c r="A38">
        <v>8</v>
      </c>
      <c r="B38">
        <f t="shared" si="7"/>
        <v>0.31666666666666665</v>
      </c>
      <c r="C38">
        <v>20</v>
      </c>
      <c r="D38">
        <v>22768465.877999999</v>
      </c>
      <c r="E38">
        <v>119649092.84948</v>
      </c>
      <c r="F38">
        <v>-2947.2190000000001</v>
      </c>
      <c r="G38">
        <v>22768464.601</v>
      </c>
      <c r="H38">
        <v>93233054.335460007</v>
      </c>
      <c r="J38" s="5">
        <f>'sv20'!$AA$3+'sv20'!$Z$3*($B38)+'sv20'!$Y$3*($B38)^2+'sv20'!$X$3*($B38)^3+'sv20'!$W$3*($B38)^4+'sv20'!$V$3*($B38)^5+'sv20'!$U$3*($B38)^6+'sv20'!$T$3*($B38)^7+'sv20'!$S$3*($B38)^8</f>
        <v>14179.942730358056</v>
      </c>
      <c r="K38" s="5">
        <f>'sv20'!$AA$4+'sv20'!$Z$4*($B38)+'sv20'!$Y$4*($B38)^2+'sv20'!$X$4*($B38)^3+'sv20'!$W$4*($B38)^4+'sv20'!$V$4*($B38)^5+'sv20'!$U$4*($B38)^6+'sv20'!$T$4*($B38)^7+'sv20'!$S$4*($B38)^8</f>
        <v>21361.273399515252</v>
      </c>
      <c r="L38" s="5">
        <f>'sv20'!$AA$5+'sv20'!$Z$5*($B38)+'sv20'!$Y$5*($B38)^2+'sv20'!$X$5*($B38)^3+'sv20'!$W$5*($B38)^4+'sv20'!$V$5*($B38)^5+'sv20'!$U$5*($B38)^6+'sv20'!$T$5*($B38)^7+'sv20'!$S$5*($B38)^8</f>
        <v>6895.3329904928378</v>
      </c>
      <c r="M38" s="5">
        <f>'sv20'!$AA$6+'sv20'!$Z$6*$B38+'sv20'!$Y$6*$B38^2+'sv20'!$X$6*$B38^3+'sv20'!$W$6*$B38^4+'sv20'!$V$6*$B38^5+'sv20'!$U$6*$B38^6+'sv20'!$T$6*$B38^7+'sv20'!$S$6*$B38^8</f>
        <v>55.818086074070415</v>
      </c>
      <c r="O38">
        <f>SQRT(($J38*1000-coord!$B$2)^2+($K38*1000-coord!$C$2)^2+($L38*1000-coord!$D$2)^2)/coord!$B$6</f>
        <v>7.6003436990035478E-2</v>
      </c>
      <c r="Q38" s="5">
        <f>'sv20'!$AA$3+'sv20'!$Z$3*($B38-$O38/3600)+'sv20'!$Y$3*($B38-$O38/3600)^2+'sv20'!$X$3*($B38-$O38/3600)^3+'sv20'!$W$3*($B38-$O38/3600)^4+'sv20'!$V$3*($B38-$O38/3600)^5+'sv20'!$U$3*($B38-$O38/3600)^6+'sv20'!$T$3*($B38-$O38/3600)^7+'sv20'!$S$3*($B38-$O38/3600)^8+K38*coord!$B$7*O38</f>
        <v>14180.058992204582</v>
      </c>
      <c r="R38" s="5">
        <f>'sv20'!$AA$4+'sv20'!$Z$4*($B38-$O38/3600)+'sv20'!$Y$4*($B38-$O38/3600)^2+'sv20'!$X$4*($B38-$O38/3600)^3+'sv20'!$W$4*($B38-$O38/3600)^4+'sv20'!$V$4*($B38-$O38/3600)^5+'sv20'!$U$4*($B38-$O38/3600)^6+'sv20'!$T$4*($B38-$O38/3600)^7+'sv20'!$S$4*($B38-$O38/3600)^8-J38*coord!$B$7*O38</f>
        <v>21361.122209134621</v>
      </c>
      <c r="S38" s="5">
        <f>'sv20'!$AA$5+'sv20'!$Z$5*($B38-$O38/3600)+'sv20'!$Y$5*($B38-$O38/3600)^2+'sv20'!$X$5*($B38-$O38/3600)^3+'sv20'!$W$5*($B38-$O38/3600)^4+'sv20'!$V$5*($B38-$O38/3600)^5+'sv20'!$U$5*($B38-$O38/3600)^6+'sv20'!$T$5*($B38-$O38/3600)^7+'sv20'!$S$5*($B38-$O38/3600)^8</f>
        <v>6895.5574511353789</v>
      </c>
      <c r="T38">
        <f>coord!$B$6*M38/10^6</f>
        <v>16733.841225001139</v>
      </c>
      <c r="U38">
        <f>SQRT(($Q38*1000+coord!$B$7*$O38*$R38*1000-coord!$B$2)^2+($R38*1000-coord!$B$7*$O38*$Q38*1000-coord!$C$2)^2+($S38*1000-coord!$D$2)^2)</f>
        <v>22785175.33494189</v>
      </c>
      <c r="V38" s="3">
        <f>$D38-(U38-$T38)-coord!$E$2</f>
        <v>24.384283110499382</v>
      </c>
      <c r="W38" s="3"/>
      <c r="Y38">
        <f>-(Q38*1000-coord!$B$2)/$U38</f>
        <v>-0.42971715940186128</v>
      </c>
      <c r="Z38">
        <f>-(R38*1000-coord!$C$2)/$U38</f>
        <v>-0.89692318340839927</v>
      </c>
      <c r="AA38">
        <f>-(S38*1000-coord!$D$2)/$U38</f>
        <v>-0.1042769757927535</v>
      </c>
      <c r="AB38">
        <v>1</v>
      </c>
      <c r="BA38">
        <f>SQRT(($Q38*1000+coord!$B$7*$O38*$R38*1000-coord!$B$2-AX$34)^2+($R38*1000-coord!$B$7*$O38*$Q38*1000-coord!$C$2-AX$35)^2+($S38*1000-coord!$D$2-AX$36)^2)</f>
        <v>22785188.36552158</v>
      </c>
      <c r="BB38" s="3">
        <f t="shared" si="8"/>
        <v>4.5330073840488581</v>
      </c>
      <c r="BD38" s="1"/>
      <c r="BE38" s="1"/>
      <c r="BF38" s="1"/>
      <c r="CD38" s="1"/>
      <c r="CE38" s="1"/>
      <c r="CF38" s="1"/>
    </row>
    <row r="39" spans="1:108">
      <c r="A39">
        <v>8</v>
      </c>
      <c r="B39">
        <f t="shared" si="7"/>
        <v>0.31666666666666665</v>
      </c>
      <c r="C39">
        <v>13</v>
      </c>
      <c r="D39">
        <v>20082939.195</v>
      </c>
      <c r="E39">
        <v>105536556.28349</v>
      </c>
      <c r="F39">
        <v>-471.74200000000002</v>
      </c>
      <c r="G39">
        <v>20082937.232999999</v>
      </c>
      <c r="H39">
        <v>82236269.727479994</v>
      </c>
      <c r="J39" s="5">
        <f>'sv13'!$AA$3+'sv13'!$Z$3*($B39)+'sv13'!$Y$3*($B39)^2+'sv13'!$X$3*($B39)^3+'sv13'!$W$3*($B39)^4+'sv13'!$V$3*($B39)^5+'sv13'!$U$3*($B39)^6+'sv13'!$T$3*($B39)^7+'sv13'!$S$3*($B39)^8</f>
        <v>15261.789005158651</v>
      </c>
      <c r="K39" s="5">
        <f>'sv13'!$AA$4+'sv13'!$Z$4*($B39)+'sv13'!$Y$4*($B39)^2+'sv13'!$X$4*($B39)^3+'sv13'!$W$4*($B39)^4+'sv13'!$V$4*($B39)^5+'sv13'!$U$4*($B39)^6+'sv13'!$T$4*($B39)^7+'sv13'!$S$4*($B39)^8</f>
        <v>4046.1503990401975</v>
      </c>
      <c r="L39" s="5">
        <f>'sv13'!$AA$5+'sv13'!$Z$5*($B39)+'sv13'!$Y$5*($B39)^2+'sv13'!$X$5*($B39)^3+'sv13'!$W$5*($B39)^4+'sv13'!$V$5*($B39)^5+'sv13'!$U$5*($B39)^6+'sv13'!$T$5*($B39)^7+'sv13'!$S$5*($B39)^8</f>
        <v>21223.842961275346</v>
      </c>
      <c r="M39" s="5">
        <f>'sv13'!$AA$6+'sv13'!$Z$6*$B39+'sv13'!$Y$6*$B39^2+'sv13'!$X$6*$B39^3+'sv13'!$W$6*$B39^4+'sv13'!$V$6*$B39^5+'sv13'!$U$6*$B39^6+'sv13'!$T$6*$B39^7+'sv13'!$S$6*$B39^8</f>
        <v>304.21959884768302</v>
      </c>
      <c r="O39">
        <f>SQRT(($J39*1000-coord!$B$2)^2+($K39*1000-coord!$C$2)^2+($L39*1000-coord!$D$2)^2)/coord!$B$6</f>
        <v>6.7293741520789041E-2</v>
      </c>
      <c r="Q39" s="5">
        <f>'sv13'!$AA$3+'sv13'!$Z$3*($B39-$O39/3600)+'sv13'!$Y$3*($B39-$O39/3600)^2+'sv13'!$X$3*($B39-$O39/3600)^3+'sv13'!$W$3*($B39-$O39/3600)^4+'sv13'!$V$3*($B39-$O39/3600)^5+'sv13'!$U$3*($B39-$O39/3600)^6+'sv13'!$T$3*($B39-$O39/3600)^7+'sv13'!$S$3*($B39-$O39/3600)^8+K39*coord!$B$7*O39</f>
        <v>15261.932382551706</v>
      </c>
      <c r="R39" s="5">
        <f>'sv13'!$AA$4+'sv13'!$Z$4*($B39-$O39/3600)+'sv13'!$Y$4*($B39-$O39/3600)^2+'sv13'!$X$4*($B39-$O39/3600)^3+'sv13'!$W$4*($B39-$O39/3600)^4+'sv13'!$V$4*($B39-$O39/3600)^5+'sv13'!$U$4*($B39-$O39/3600)^6+'sv13'!$T$4*($B39-$O39/3600)^7+'sv13'!$S$4*($B39-$O39/3600)^8-J39*coord!$B$7*O39</f>
        <v>4045.9405157980013</v>
      </c>
      <c r="S39" s="5">
        <f>'sv13'!$AA$5+'sv13'!$Z$5*($B39-$O39/3600)+'sv13'!$Y$5*($B39-$O39/3600)^2+'sv13'!$X$5*($B39-$O39/3600)^3+'sv13'!$W$5*($B39-$O39/3600)^4+'sv13'!$V$5*($B39-$O39/3600)^5+'sv13'!$U$5*($B39-$O39/3600)^6+'sv13'!$T$5*($B39-$O39/3600)^7+'sv13'!$S$5*($B39-$O39/3600)^8</f>
        <v>21223.780489006149</v>
      </c>
      <c r="T39">
        <f>coord!$B$6*M39/10^6</f>
        <v>91202.741310320867</v>
      </c>
      <c r="U39">
        <f>SQRT(($Q39*1000+coord!$B$7*$O39*$R39*1000-coord!$B$2)^2+($R39*1000-coord!$B$7*$O39*$Q39*1000-coord!$C$2)^2+($S39*1000-coord!$D$2)^2)</f>
        <v>20174148.364245716</v>
      </c>
      <c r="V39" s="3">
        <f>$D39-(U39-$T39)-coord!$E$2</f>
        <v>-6.4279353953897953</v>
      </c>
      <c r="W39" s="3"/>
      <c r="Y39">
        <f>-(Q39*1000-coord!$B$2)/$U39</f>
        <v>-0.53895976253559363</v>
      </c>
      <c r="Z39">
        <f>-(R39*1000-coord!$C$2)/$U39</f>
        <v>-0.15472129213295319</v>
      </c>
      <c r="AA39">
        <f>-(S39*1000-coord!$D$2)/$U39</f>
        <v>-0.82799986959106009</v>
      </c>
      <c r="AB39">
        <v>1</v>
      </c>
      <c r="BA39">
        <f>SQRT(($Q39*1000+coord!$B$7*$O39*$R39*1000-coord!$B$2-AX$34)^2+($R39*1000-coord!$B$7*$O39*$Q39*1000-coord!$C$2-AX$35)^2+($S39*1000-coord!$D$2-AX$36)^2)</f>
        <v>20174133.398202237</v>
      </c>
      <c r="BB39" s="3">
        <f t="shared" si="8"/>
        <v>1.7174120477904466</v>
      </c>
      <c r="BD39" s="1"/>
      <c r="BE39" s="1"/>
      <c r="BF39" s="1"/>
      <c r="CD39" s="1"/>
      <c r="CE39" s="1"/>
      <c r="CF39" s="1"/>
    </row>
    <row r="40" spans="1:108">
      <c r="A40">
        <v>8</v>
      </c>
      <c r="B40">
        <f t="shared" si="7"/>
        <v>0.31666666666666665</v>
      </c>
      <c r="C40">
        <v>7</v>
      </c>
      <c r="D40">
        <v>22099723.570999999</v>
      </c>
      <c r="E40">
        <v>116134831.11949</v>
      </c>
      <c r="F40">
        <v>3057.8470000000002</v>
      </c>
      <c r="G40">
        <v>22099722.149999999</v>
      </c>
      <c r="H40">
        <v>90494673.694470003</v>
      </c>
      <c r="J40" s="5">
        <f>'sv07'!$AA$3+'sv07'!$Z$3*($B40)+'sv07'!$Y$3*($B40)^2+'sv07'!$X$3*($B40)^3+'sv07'!$W$3*($B40)^4+'sv07'!$V$3*($B40)^5+'sv07'!$U$3*($B40)^6+'sv07'!$T$3*($B40)^7+'sv07'!$S$3*($B40)^8</f>
        <v>25737.871725737798</v>
      </c>
      <c r="K40" s="5">
        <f>'sv07'!$AA$4+'sv07'!$Z$4*($B40)+'sv07'!$Y$4*($B40)^2+'sv07'!$X$4*($B40)^3+'sv07'!$W$4*($B40)^4+'sv07'!$V$4*($B40)^5+'sv07'!$U$4*($B40)^6+'sv07'!$T$4*($B40)^7+'sv07'!$S$4*($B40)^8</f>
        <v>6351.2784765329352</v>
      </c>
      <c r="L40" s="5">
        <f>'sv07'!$AA$5+'sv07'!$Z$5*($B40)+'sv07'!$Y$5*($B40)^2+'sv07'!$X$5*($B40)^3+'sv07'!$W$5*($B40)^4+'sv07'!$V$5*($B40)^5+'sv07'!$U$5*($B40)^6+'sv07'!$T$5*($B40)^7+'sv07'!$S$5*($B40)^8</f>
        <v>2742.2652958640624</v>
      </c>
      <c r="M40" s="5">
        <f>'sv07'!$AA$6+'sv07'!$Z$6*$B40+'sv07'!$Y$6*$B40^2+'sv07'!$X$6*$B40^3+'sv07'!$W$6*$B40^4+'sv07'!$V$6*$B40^5+'sv07'!$U$6*$B40^6+'sv07'!$T$6*$B40^7+'sv07'!$S$6*$B40^8</f>
        <v>-0.63762153456196424</v>
      </c>
      <c r="O40">
        <f>SQRT(($J40*1000-coord!$B$2)^2+($K40*1000-coord!$C$2)^2+($L40*1000-coord!$D$2)^2)/coord!$B$6</f>
        <v>7.3715971944129668E-2</v>
      </c>
      <c r="Q40" s="5">
        <f>'sv07'!$AA$3+'sv07'!$Z$3*($B40-$O40/3600)+'sv07'!$Y$3*($B40-$O40/3600)^2+'sv07'!$X$3*($B40-$O40/3600)^3+'sv07'!$W$3*($B40-$O40/3600)^4+'sv07'!$V$3*($B40-$O40/3600)^5+'sv07'!$U$3*($B40-$O40/3600)^6+'sv07'!$T$3*($B40-$O40/3600)^7+'sv07'!$S$3*($B40-$O40/3600)^8+K40*coord!$B$7*O40</f>
        <v>25737.934019795135</v>
      </c>
      <c r="R40" s="5">
        <f>'sv07'!$AA$4+'sv07'!$Z$4*($B40-$O40/3600)+'sv07'!$Y$4*($B40-$O40/3600)^2+'sv07'!$X$4*($B40-$O40/3600)^3+'sv07'!$W$4*($B40-$O40/3600)^4+'sv07'!$V$4*($B40-$O40/3600)^5+'sv07'!$U$4*($B40-$O40/3600)^6+'sv07'!$T$4*($B40-$O40/3600)^7+'sv07'!$S$4*($B40-$O40/3600)^8-J40*coord!$B$7*O40</f>
        <v>6351.127675337857</v>
      </c>
      <c r="S40" s="5">
        <f>'sv07'!$AA$5+'sv07'!$Z$5*($B40-$O40/3600)+'sv07'!$Y$5*($B40-$O40/3600)^2+'sv07'!$X$5*($B40-$O40/3600)^3+'sv07'!$W$5*($B40-$O40/3600)^4+'sv07'!$V$5*($B40-$O40/3600)^5+'sv07'!$U$5*($B40-$O40/3600)^6+'sv07'!$T$5*($B40-$O40/3600)^7+'sv07'!$S$5*($B40-$O40/3600)^8</f>
        <v>2742.0321051076558</v>
      </c>
      <c r="T40">
        <f>coord!$B$6*M40/10^6</f>
        <v>-191.15412712006321</v>
      </c>
      <c r="U40">
        <f>SQRT(($Q40*1000+coord!$B$7*$O40*$R40*1000-coord!$B$2)^2+($R40*1000-coord!$B$7*$O40*$Q40*1000-coord!$C$2)^2+($S40*1000-coord!$D$2)^2)</f>
        <v>22099533.335532352</v>
      </c>
      <c r="V40" s="3">
        <f>$D40-(U40-$T40)-coord!$E$2</f>
        <v>-0.91865947470068932</v>
      </c>
      <c r="W40" s="3" t="s">
        <v>127</v>
      </c>
      <c r="X40" s="1" t="s">
        <v>128</v>
      </c>
      <c r="Y40">
        <f>-(Q40*1000-coord!$B$2)/$U40</f>
        <v>-0.96604102561158722</v>
      </c>
      <c r="Z40">
        <f>-(R40*1000-coord!$C$2)/$U40</f>
        <v>-0.24555077158180802</v>
      </c>
      <c r="AA40">
        <f>-(S40*1000-coord!$D$2)/$U40</f>
        <v>8.0434104295511566E-2</v>
      </c>
      <c r="AB40">
        <v>1</v>
      </c>
      <c r="BA40">
        <f>SQRT(($Q40*1000+coord!$B$7*$O40*$R40*1000-coord!$B$2-AX$34)^2+($R40*1000-coord!$B$7*$O40*$Q40*1000-coord!$C$2-AX$35)^2+($S40*1000-coord!$D$2-AX$36)^2)</f>
        <v>22099531.418070238</v>
      </c>
      <c r="BB40" s="3">
        <f t="shared" si="8"/>
        <v>-5.8218933970163675</v>
      </c>
      <c r="BC40" s="3" t="s">
        <v>127</v>
      </c>
      <c r="BD40" s="1" t="s">
        <v>128</v>
      </c>
      <c r="BE40" s="1"/>
      <c r="BF40" s="1"/>
      <c r="CD40" s="1"/>
      <c r="CE40" s="1"/>
      <c r="CF40" s="1"/>
    </row>
    <row r="41" spans="1:108">
      <c r="V41" s="3"/>
      <c r="W41" s="3">
        <f>AVERAGE($V34:$V40)</f>
        <v>-5.2727350635187964</v>
      </c>
      <c r="X41" s="1">
        <f>SQRT(DEVSQ($V34:$V40)/6)</f>
        <v>15.799656549005475</v>
      </c>
      <c r="BB41" s="3"/>
      <c r="BC41" s="3">
        <f>AVERAGE($BB34:$BB40)</f>
        <v>6.2159831851918822E-5</v>
      </c>
      <c r="BD41" s="1">
        <f>SQRT(DEVSQ($BB34:$BB40)/6)</f>
        <v>5.046425579258516</v>
      </c>
      <c r="BE41" s="1"/>
      <c r="BF41" s="1"/>
      <c r="CD41" s="1"/>
      <c r="CE41" s="1"/>
      <c r="CF41" s="1"/>
    </row>
    <row r="42" spans="1:108">
      <c r="A42">
        <v>10</v>
      </c>
      <c r="B42">
        <f t="shared" ref="B42:B48" si="9">(60-45)/60+30*A42/3600</f>
        <v>0.33333333333333331</v>
      </c>
      <c r="C42">
        <v>2</v>
      </c>
      <c r="D42">
        <v>22787733.425999999</v>
      </c>
      <c r="E42">
        <v>119750354.96348</v>
      </c>
      <c r="F42">
        <v>2466.1909999999998</v>
      </c>
      <c r="G42">
        <v>22787731.682</v>
      </c>
      <c r="H42">
        <v>93311954.091460004</v>
      </c>
      <c r="J42" s="5">
        <f>'sv02'!$AA$3+'sv02'!$Z$3*($B42)+'sv02'!$Y$3*($B42)^2+'sv02'!$X$3*($B42)^3+'sv02'!$W$3*($B42)^4+'sv02'!$V$3*($B42)^5+'sv02'!$U$3*($B42)^6+'sv02'!$T$3*($B42)^7+'sv02'!$S$3*($B42)^8</f>
        <v>6375.7873971284698</v>
      </c>
      <c r="K42" s="5">
        <f>'sv02'!$AA$4+'sv02'!$Z$4*($B42)+'sv02'!$Y$4*($B42)^2+'sv02'!$X$4*($B42)^3+'sv02'!$W$4*($B42)^4+'sv02'!$V$4*($B42)^5+'sv02'!$U$4*($B42)^6+'sv02'!$T$4*($B42)^7+'sv02'!$S$4*($B42)^8</f>
        <v>-14656.398613158328</v>
      </c>
      <c r="L42" s="5">
        <f>'sv02'!$AA$5+'sv02'!$Z$5*($B42)+'sv02'!$Y$5*($B42)^2+'sv02'!$X$5*($B42)^3+'sv02'!$W$5*($B42)^4+'sv02'!$V$5*($B42)^5+'sv02'!$U$5*($B42)^6+'sv02'!$T$5*($B42)^7+'sv02'!$S$5*($B42)^8</f>
        <v>21135.541478513234</v>
      </c>
      <c r="M42" s="5">
        <f>'sv02'!$AA$6+'sv02'!$Z$6*$B42+'sv02'!$Y$6*$B42^2+'sv02'!$X$6*$B42^3+'sv02'!$W$6*$B42^4+'sv02'!$V$6*$B42^5+'sv02'!$U$6*$B42^6+'sv02'!$T$6*$B42^7+'sv02'!$S$6*$B42^8</f>
        <v>257.59076390400134</v>
      </c>
      <c r="O42">
        <f>SQRT(($J42*1000-coord!$B$2)^2+($K42*1000-coord!$C$2)^2+($L42*1000-coord!$D$2)^2)/coord!$B$6</f>
        <v>7.6269143975975298E-2</v>
      </c>
      <c r="Q42" s="5">
        <f>'sv02'!$AA$3+'sv02'!$Z$3*($B42-$O42/3600)+'sv02'!$Y$3*($B42-$O42/3600)^2+'sv02'!$X$3*($B42-$O42/3600)^3+'sv02'!$W$3*($B42-$O42/3600)^4+'sv02'!$V$3*($B42-$O42/3600)^5+'sv02'!$U$3*($B42-$O42/3600)^6+'sv02'!$T$3*($B42-$O42/3600)^7+'sv02'!$S$3*($B42-$O42/3600)^8+K42*coord!$B$7*O42</f>
        <v>6375.5028008323388</v>
      </c>
      <c r="R42" s="5">
        <f>'sv02'!$AA$4+'sv02'!$Z$4*($B42-$O42/3600)+'sv02'!$Y$4*($B42-$O42/3600)^2+'sv02'!$X$4*($B42-$O42/3600)^3+'sv02'!$W$4*($B42-$O42/3600)^4+'sv02'!$V$4*($B42-$O42/3600)^5+'sv02'!$U$4*($B42-$O42/3600)^6+'sv02'!$T$4*($B42-$O42/3600)^7+'sv02'!$S$4*($B42-$O42/3600)^8-J42*coord!$B$7*O42</f>
        <v>-14656.470256670444</v>
      </c>
      <c r="S42" s="5">
        <f>'sv02'!$AA$5+'sv02'!$Z$5*($B42-$O42/3600)+'sv02'!$Y$5*($B42-$O42/3600)^2+'sv02'!$X$5*($B42-$O42/3600)^3+'sv02'!$W$5*($B42-$O42/3600)^4+'sv02'!$V$5*($B42-$O42/3600)^5+'sv02'!$U$5*($B42-$O42/3600)^6+'sv02'!$T$5*($B42-$O42/3600)^7+'sv02'!$S$5*($B42-$O42/3600)^8</f>
        <v>21135.581089310559</v>
      </c>
      <c r="T42">
        <f>coord!$B$6*M42/10^6</f>
        <v>77223.768268878237</v>
      </c>
      <c r="U42">
        <f>SQRT(($Q42*1000+coord!$B$7*$O42*$R42*1000-coord!$B$2)^2+($R42*1000-coord!$B$7*$O42*$Q42*1000-coord!$C$2)^2+($S42*1000-coord!$D$2)^2)</f>
        <v>22864984.099214252</v>
      </c>
      <c r="V42" s="3">
        <f>$D42-(U42-$T42)-coord!$E$2</f>
        <v>-26.904945373535156</v>
      </c>
      <c r="W42" s="3"/>
      <c r="Y42">
        <f>-(Q42*1000-coord!$B$2)/$U42</f>
        <v>-8.6885021280229444E-2</v>
      </c>
      <c r="Z42">
        <f>-(R42*1000-coord!$C$2)/$U42</f>
        <v>0.68143675072163645</v>
      </c>
      <c r="AA42">
        <f>-(S42*1000-coord!$D$2)/$U42</f>
        <v>-0.72670038793429836</v>
      </c>
      <c r="AB42">
        <v>1</v>
      </c>
      <c r="AD42">
        <f t="array" ref="AD42:AJ45">TRANSPOSE(Y42:AB48)</f>
        <v>-8.6885021280229444E-2</v>
      </c>
      <c r="AE42">
        <v>-0.23275570443316748</v>
      </c>
      <c r="AF42">
        <v>-0.13415050980623799</v>
      </c>
      <c r="AG42">
        <v>-0.7900492771384422</v>
      </c>
      <c r="AH42">
        <v>-0.42914855733981794</v>
      </c>
      <c r="AI42">
        <v>-0.53335827382081291</v>
      </c>
      <c r="AJ42">
        <v>-0.96649445288612579</v>
      </c>
      <c r="AL42">
        <f t="array" ref="AL42:AO45">MMULT(AD42:AJ45,Y42:AB48)</f>
        <v>2.1066495044369105</v>
      </c>
      <c r="AM42">
        <v>0.36066029732616417</v>
      </c>
      <c r="AN42">
        <v>1.1213708722319886</v>
      </c>
      <c r="AO42">
        <v>-3.1728417967048337</v>
      </c>
      <c r="AQ42">
        <f t="array" ref="AQ42:AT45">MINVERSE(AL42:AO45)</f>
        <v>2.4852992473643347</v>
      </c>
      <c r="AR42">
        <v>-9.4232512585338782E-2</v>
      </c>
      <c r="AS42">
        <v>1.4027970806743928</v>
      </c>
      <c r="AT42">
        <v>1.8200479752089669</v>
      </c>
      <c r="AV42">
        <f t="array" ref="AV42:AV45">MMULT(AD42:AJ45,V42:V48)</f>
        <v>8.5331358308300018</v>
      </c>
      <c r="AX42">
        <f t="array" ref="AX42:AX45">MMULT(AQ42:AT45,AV42:AV45)</f>
        <v>8.432007609235356</v>
      </c>
      <c r="BA42">
        <f>SQRT(($Q42*1000+coord!$B$7*$O42*$R42*1000-coord!$B$2-AX$42)^2+($R42*1000-coord!$B$7*$O42*$Q42*1000-coord!$C$2-AX$43)^2+($S42*1000-coord!$D$2-AX$44)^2)</f>
        <v>22864957.442340452</v>
      </c>
      <c r="BB42" s="3">
        <f>$D42-(BA42-$T42)-AX$45</f>
        <v>-6.6316895994233533</v>
      </c>
      <c r="BD42" s="1">
        <f>coord!$B$2+$AX42</f>
        <v>4388886.6028076094</v>
      </c>
      <c r="BE42" s="1">
        <f>coord!$C$2+$AX43</f>
        <v>924549.6920600828</v>
      </c>
      <c r="BF42" s="1">
        <f>coord!$D$2+$AX44</f>
        <v>4519604.7052793894</v>
      </c>
      <c r="BG42" s="1">
        <f>coord!$E$2+$AX45</f>
        <v>6.3836180257486745</v>
      </c>
      <c r="BH42" s="8">
        <f>lat($BD42,$BE42,$BF42)</f>
        <v>45.411249296214628</v>
      </c>
      <c r="BI42" s="8">
        <f>lon($BD42,$BE42,$BF42)</f>
        <v>11.89582781316664</v>
      </c>
      <c r="BJ42" s="6">
        <f>h($BD42,$BE42,$BF42)</f>
        <v>76.645371717400849</v>
      </c>
      <c r="BL42">
        <f>grado($BH42)</f>
        <v>45</v>
      </c>
      <c r="BM42">
        <f>MINUTOprimo($BH42)</f>
        <v>24</v>
      </c>
      <c r="BN42">
        <f>MINUTOsecondo($BH42)</f>
        <v>40.497466372659687</v>
      </c>
      <c r="BO42">
        <f>grado($BI42)</f>
        <v>11</v>
      </c>
      <c r="BP42">
        <f>MINUTOprimo($BI42)</f>
        <v>53</v>
      </c>
      <c r="BQ42">
        <f>MINUTOsecondo($BI42)</f>
        <v>44.980127399905427</v>
      </c>
      <c r="BS42">
        <f>-SIN(RADIANS(BH42))*COS(RADIANS(BI42))</f>
        <v>-0.69686945789781296</v>
      </c>
      <c r="BT42">
        <f>-SIN(RADIANS(BI42))</f>
        <v>-0.20613293139400149</v>
      </c>
      <c r="BU42">
        <f>COS(RADIANS(BH42))*COS(RADIANS(BI42))</f>
        <v>0.68693680440352312</v>
      </c>
      <c r="BW42" t="s">
        <v>93</v>
      </c>
      <c r="BX42">
        <f t="array" ref="BX42:BZ44">MINVERSE(BS42:BU44)</f>
        <v>-0.69686945789781285</v>
      </c>
      <c r="BY42">
        <v>-0.14680043049945693</v>
      </c>
      <c r="BZ42">
        <v>0.70201324222152861</v>
      </c>
      <c r="CA42">
        <v>0</v>
      </c>
      <c r="CB42" s="1">
        <f t="array" ref="CB42:CB44">MMULT(BX42:BZ44,AX42:AX44)</f>
        <v>8.6712687167095446</v>
      </c>
      <c r="CD42" s="1">
        <f t="array" ref="CD42:CF42">TRANSPOSE(CB42:CB44)</f>
        <v>8.6712687167095446</v>
      </c>
      <c r="CE42" s="1">
        <v>-21.818542320628975</v>
      </c>
      <c r="CF42" s="1">
        <v>14.5242324881734</v>
      </c>
      <c r="CH42">
        <f t="array" ref="CH42:CK45">MMULT(BX42:CA45,AQ42:AT45)</f>
        <v>-0.73331363902692781</v>
      </c>
      <c r="CI42">
        <v>0.17824596058783576</v>
      </c>
      <c r="CJ42">
        <v>0.61203197249435637</v>
      </c>
      <c r="CK42">
        <v>-3.0686776908811497E-2</v>
      </c>
      <c r="CM42">
        <f t="array" ref="CM42:CP45">TRANSPOSE(BX42:CA45)</f>
        <v>-0.69686945789781285</v>
      </c>
      <c r="CN42">
        <v>-0.20613293139400149</v>
      </c>
      <c r="CO42">
        <v>0.68693680440352312</v>
      </c>
      <c r="CP42">
        <v>0</v>
      </c>
      <c r="CR42" s="5">
        <f t="array" ref="CR42:CU45">MMULT(CH42:CK45,CM42:CP45)</f>
        <v>0.91451184370268468</v>
      </c>
      <c r="CS42" s="5">
        <v>0.32557804001948154</v>
      </c>
      <c r="CT42" s="5">
        <v>-4.2079431896328123E-2</v>
      </c>
      <c r="CU42" s="5">
        <v>-3.0686776908811497E-2</v>
      </c>
      <c r="CW42" s="3">
        <f>SQRT(CR42+CS43)</f>
        <v>1.2320486544521079</v>
      </c>
      <c r="CX42" s="3">
        <f>CT44</f>
        <v>3.7664516953390033</v>
      </c>
      <c r="CY42" s="3">
        <f>CU45</f>
        <v>1.8473297408283205</v>
      </c>
      <c r="CZ42" s="3">
        <f>BD49</f>
        <v>5.1315003505246066</v>
      </c>
      <c r="DA42">
        <v>6</v>
      </c>
      <c r="DB42" s="6">
        <f>CY42*DA42*CZ42</f>
        <v>56.877439275570339</v>
      </c>
      <c r="DC42">
        <v>5.33</v>
      </c>
      <c r="DD42" s="6">
        <f>CZ42*DC42*SQRT(0.5*(CR42+CS43)+SQRT((0.5*(CR42-CS43))^2+CS42^2))</f>
        <v>28.942827276543778</v>
      </c>
    </row>
    <row r="43" spans="1:108">
      <c r="A43">
        <v>10</v>
      </c>
      <c r="B43">
        <f t="shared" si="9"/>
        <v>0.33333333333333331</v>
      </c>
      <c r="C43">
        <v>23</v>
      </c>
      <c r="D43">
        <v>20954020.164999999</v>
      </c>
      <c r="E43">
        <v>110114119.95949</v>
      </c>
      <c r="F43">
        <v>-1810.2329999999999</v>
      </c>
      <c r="G43">
        <v>20954017.326000001</v>
      </c>
      <c r="H43">
        <v>85803196.967470005</v>
      </c>
      <c r="J43" s="5">
        <f>'sv23'!$AA$3+'sv23'!$Z$3*($B43)+'sv23'!$Y$3*($B43)^2+'sv23'!$X$3*($B43)^3+'sv23'!$W$3*($B43)^4+'sv23'!$V$3*($B43)^5+'sv23'!$U$3*($B43)^6+'sv23'!$T$3*($B43)^7+'sv23'!$S$3*($B43)^8</f>
        <v>9291.6792309016801</v>
      </c>
      <c r="K43" s="5">
        <f>'sv23'!$AA$4+'sv23'!$Z$4*($B43)+'sv23'!$Y$4*($B43)^2+'sv23'!$X$4*($B43)^3+'sv23'!$W$4*($B43)^4+'sv23'!$V$4*($B43)^5+'sv23'!$U$4*($B43)^6+'sv23'!$T$4*($B43)^7+'sv23'!$S$4*($B43)^8</f>
        <v>12143.539508619177</v>
      </c>
      <c r="L43" s="5">
        <f>'sv23'!$AA$5+'sv23'!$Z$5*($B43)+'sv23'!$Y$5*($B43)^2+'sv23'!$X$5*($B43)^3+'sv23'!$W$5*($B43)^4+'sv23'!$V$5*($B43)^5+'sv23'!$U$5*($B43)^6+'sv23'!$T$5*($B43)^7+'sv23'!$S$5*($B43)^8</f>
        <v>21661.11163502781</v>
      </c>
      <c r="M43" s="5">
        <f>'sv23'!$AA$6+'sv23'!$Z$6*$B43+'sv23'!$Y$6*$B43^2+'sv23'!$X$6*$B43^3+'sv23'!$W$6*$B43^4+'sv23'!$V$6*$B43^5+'sv23'!$U$6*$B43^6+'sv23'!$T$6*$B43^7+'sv23'!$S$6*$B43^8</f>
        <v>370.05721328751224</v>
      </c>
      <c r="O43">
        <f>SQRT(($J43*1000-coord!$B$2)^2+($K43*1000-coord!$C$2)^2+($L43*1000-coord!$D$2)^2)/coord!$B$6</f>
        <v>7.0265302655560857E-2</v>
      </c>
      <c r="Q43" s="5">
        <f>'sv23'!$AA$3+'sv23'!$Z$3*($B43-$O43/3600)+'sv23'!$Y$3*($B43-$O43/3600)^2+'sv23'!$X$3*($B43-$O43/3600)^3+'sv23'!$W$3*($B43-$O43/3600)^4+'sv23'!$V$3*($B43-$O43/3600)^5+'sv23'!$U$3*($B43-$O43/3600)^6+'sv23'!$T$3*($B43-$O43/3600)^7+'sv23'!$S$3*($B43-$O43/3600)^8+K43*coord!$B$7*O43</f>
        <v>9291.8682042161945</v>
      </c>
      <c r="R43" s="5">
        <f>'sv23'!$AA$4+'sv23'!$Z$4*($B43-$O43/3600)+'sv23'!$Y$4*($B43-$O43/3600)^2+'sv23'!$X$4*($B43-$O43/3600)^3+'sv23'!$W$4*($B43-$O43/3600)^4+'sv23'!$V$4*($B43-$O43/3600)^5+'sv23'!$U$4*($B43-$O43/3600)^6+'sv23'!$T$4*($B43-$O43/3600)^7+'sv23'!$S$4*($B43-$O43/3600)^8-J43*coord!$B$7*O43</f>
        <v>12143.345247659054</v>
      </c>
      <c r="S43" s="5">
        <f>'sv23'!$AA$5+'sv23'!$Z$5*($B43-$O43/3600)+'sv23'!$Y$5*($B43-$O43/3600)^2+'sv23'!$X$5*($B43-$O43/3600)^3+'sv23'!$W$5*($B43-$O43/3600)^4+'sv23'!$V$5*($B43-$O43/3600)^5+'sv23'!$U$5*($B43-$O43/3600)^6+'sv23'!$T$5*($B43-$O43/3600)^7+'sv23'!$S$5*($B43-$O43/3600)^8</f>
        <v>21661.141621664596</v>
      </c>
      <c r="T43">
        <f>coord!$B$6*M43/10^6</f>
        <v>110940.36157209355</v>
      </c>
      <c r="U43">
        <f>SQRT(($Q43*1000+coord!$B$7*$O43*$R43*1000-coord!$B$2)^2+($R43*1000-coord!$B$7*$O43*$Q43*1000-coord!$C$2)^2+($S43*1000-coord!$D$2)^2)</f>
        <v>21064961.846398138</v>
      </c>
      <c r="V43" s="3">
        <f>$D43-(U43-$T43)-coord!$E$2</f>
        <v>-1.3198260441422462</v>
      </c>
      <c r="W43" s="3"/>
      <c r="Y43">
        <f>-(Q43*1000-coord!$B$2)/$U43</f>
        <v>-0.23275570443316748</v>
      </c>
      <c r="Z43">
        <f>-(R43*1000-coord!$C$2)/$U43</f>
        <v>-0.53257988864467531</v>
      </c>
      <c r="AA43">
        <f>-(S43*1000-coord!$D$2)/$U43</f>
        <v>-0.81374718228106369</v>
      </c>
      <c r="AB43">
        <v>1</v>
      </c>
      <c r="AD43">
        <v>0.68143675072163645</v>
      </c>
      <c r="AE43">
        <v>-0.53257988864467531</v>
      </c>
      <c r="AF43">
        <v>0.79703551734318168</v>
      </c>
      <c r="AG43">
        <v>0.38783632329540307</v>
      </c>
      <c r="AH43">
        <v>-0.89808167494111169</v>
      </c>
      <c r="AI43">
        <v>-0.16066120161386641</v>
      </c>
      <c r="AJ43">
        <v>-0.24639357998379388</v>
      </c>
      <c r="AL43">
        <v>0.36066029732616417</v>
      </c>
      <c r="AM43">
        <v>2.4267525254229203</v>
      </c>
      <c r="AN43">
        <v>-0.51305284797157513</v>
      </c>
      <c r="AO43">
        <v>2.8592246176774E-2</v>
      </c>
      <c r="AQ43">
        <v>-9.4232512585339004E-2</v>
      </c>
      <c r="AR43">
        <v>0.4802201264236865</v>
      </c>
      <c r="AS43">
        <v>0.26078528282500857</v>
      </c>
      <c r="AT43">
        <v>8.41890314173208E-2</v>
      </c>
      <c r="AV43">
        <v>-55.006076539938142</v>
      </c>
      <c r="AX43">
        <v>-20.521139917207414</v>
      </c>
      <c r="BA43">
        <f>SQRT(($Q43*1000+coord!$B$7*$O43*$R43*1000-coord!$B$2-AX$42)^2+($R43*1000-coord!$B$7*$O43*$Q43*1000-coord!$C$2-AX$43)^2+($S43*1000-coord!$D$2-AX$44)^2)</f>
        <v>21064957.442229841</v>
      </c>
      <c r="BB43" s="3">
        <f t="shared" ref="BB43:BB48" si="10">$D43-(BA43-$T43)-AX$45</f>
        <v>-3.2992757732855722</v>
      </c>
      <c r="BD43" s="1"/>
      <c r="BE43" s="1"/>
      <c r="BF43" s="1"/>
      <c r="BS43">
        <f>-SIN(RADIANS(BH42))*SIN(RADIANS(BI42))</f>
        <v>-0.14680043049945693</v>
      </c>
      <c r="BT43">
        <f>COS(RADIANS(BI42))</f>
        <v>0.97852399796577083</v>
      </c>
      <c r="BU43">
        <f>COS(RADIANS(BH42))*SIN(RADIANS(BI42))</f>
        <v>0.14470804749653088</v>
      </c>
      <c r="BW43" t="s">
        <v>94</v>
      </c>
      <c r="BX43">
        <v>-0.20613293139400149</v>
      </c>
      <c r="BY43">
        <v>0.97852399796577083</v>
      </c>
      <c r="BZ43">
        <v>2.8364736759986765E-17</v>
      </c>
      <c r="CA43">
        <v>0</v>
      </c>
      <c r="CB43" s="1">
        <v>-21.818542320628975</v>
      </c>
      <c r="CD43" s="1"/>
      <c r="CE43" s="1"/>
      <c r="CF43" s="1"/>
      <c r="CH43">
        <v>-0.60451079420388176</v>
      </c>
      <c r="CI43">
        <v>0.48933134206357165</v>
      </c>
      <c r="CJ43">
        <v>-3.3978016829798501E-2</v>
      </c>
      <c r="CK43">
        <v>-0.29279083680019863</v>
      </c>
      <c r="CM43">
        <v>-0.14680043049945693</v>
      </c>
      <c r="CN43">
        <v>0.97852399796577083</v>
      </c>
      <c r="CO43">
        <v>0.14470804749653088</v>
      </c>
      <c r="CP43">
        <v>0</v>
      </c>
      <c r="CR43" s="5">
        <v>0.32557804001948154</v>
      </c>
      <c r="CS43" s="5">
        <v>0.60343204323456445</v>
      </c>
      <c r="CT43" s="5">
        <v>-0.36864844678536451</v>
      </c>
      <c r="CU43" s="5">
        <v>-0.29279083680019863</v>
      </c>
    </row>
    <row r="44" spans="1:108">
      <c r="A44">
        <v>10</v>
      </c>
      <c r="B44">
        <f t="shared" si="9"/>
        <v>0.33333333333333331</v>
      </c>
      <c r="C44">
        <v>10</v>
      </c>
      <c r="D44">
        <v>23170373.050999999</v>
      </c>
      <c r="E44">
        <v>121761130.20347001</v>
      </c>
      <c r="F44">
        <v>3091.9569999999999</v>
      </c>
      <c r="G44">
        <v>23170372.375999998</v>
      </c>
      <c r="H44">
        <v>94878805.801459998</v>
      </c>
      <c r="J44" s="5">
        <f>'sv10'!$AA$3+'sv10'!$Z$3*($B44)+'sv10'!$Y$3*($B44)^2+'sv10'!$X$3*($B44)^3+'sv10'!$W$3*($B44)^4+'sv10'!$V$3*($B44)^5+'sv10'!$U$3*($B44)^6+'sv10'!$T$3*($B44)^7+'sv10'!$S$3*($B44)^8</f>
        <v>7495.6410798643228</v>
      </c>
      <c r="K44" s="5">
        <f>'sv10'!$AA$4+'sv10'!$Z$4*($B44)+'sv10'!$Y$4*($B44)^2+'sv10'!$X$4*($B44)^3+'sv10'!$W$4*($B44)^4+'sv10'!$V$4*($B44)^5+'sv10'!$U$4*($B44)^6+'sv10'!$T$4*($B44)^7+'sv10'!$S$4*($B44)^8</f>
        <v>-17532.568442395419</v>
      </c>
      <c r="L44" s="5">
        <f>'sv10'!$AA$5+'sv10'!$Z$5*($B44)+'sv10'!$Y$5*($B44)^2+'sv10'!$X$5*($B44)^3+'sv10'!$W$5*($B44)^4+'sv10'!$V$5*($B44)^5+'sv10'!$U$5*($B44)^6+'sv10'!$T$5*($B44)^7+'sv10'!$S$5*($B44)^8</f>
        <v>18155.854221482132</v>
      </c>
      <c r="M44" s="5">
        <f>'sv10'!$AA$6+'sv10'!$Z$6*$B44+'sv10'!$Y$6*$B44^2+'sv10'!$X$6*$B44^3+'sv10'!$W$6*$B44^4+'sv10'!$V$6*$B44^5+'sv10'!$U$6*$B44^6+'sv10'!$T$6*$B44^7+'sv10'!$S$6*$B44^8</f>
        <v>-43.000881866890452</v>
      </c>
      <c r="O44">
        <f>SQRT(($J44*1000-coord!$B$2)^2+($K44*1000-coord!$C$2)^2+($L44*1000-coord!$D$2)^2)/coord!$B$6</f>
        <v>7.7244809041307774E-2</v>
      </c>
      <c r="Q44" s="5">
        <f>'sv10'!$AA$3+'sv10'!$Z$3*($B44-$O44/3600)+'sv10'!$Y$3*($B44-$O44/3600)^2+'sv10'!$X$3*($B44-$O44/3600)^3+'sv10'!$W$3*($B44-$O44/3600)^4+'sv10'!$V$3*($B44-$O44/3600)^5+'sv10'!$U$3*($B44-$O44/3600)^6+'sv10'!$T$3*($B44-$O44/3600)^7+'sv10'!$S$3*($B44-$O44/3600)^8+K44*coord!$B$7*O44</f>
        <v>7495.4682564930717</v>
      </c>
      <c r="R44" s="5">
        <f>'sv10'!$AA$4+'sv10'!$Z$4*($B44-$O44/3600)+'sv10'!$Y$4*($B44-$O44/3600)^2+'sv10'!$X$4*($B44-$O44/3600)^3+'sv10'!$W$4*($B44-$O44/3600)^4+'sv10'!$V$4*($B44-$O44/3600)^5+'sv10'!$U$4*($B44-$O44/3600)^6+'sv10'!$T$4*($B44-$O44/3600)^7+'sv10'!$S$4*($B44-$O44/3600)^8-J44*coord!$B$7*O44</f>
        <v>-17532.777729047175</v>
      </c>
      <c r="S44" s="5">
        <f>'sv10'!$AA$5+'sv10'!$Z$5*($B44-$O44/3600)+'sv10'!$Y$5*($B44-$O44/3600)^2+'sv10'!$X$5*($B44-$O44/3600)^3+'sv10'!$W$5*($B44-$O44/3600)^4+'sv10'!$V$5*($B44-$O44/3600)^5+'sv10'!$U$5*($B44-$O44/3600)^6+'sv10'!$T$5*($B44-$O44/3600)^7+'sv10'!$S$5*($B44-$O44/3600)^8</f>
        <v>18155.722151216705</v>
      </c>
      <c r="T44">
        <f>coord!$B$6*M44/10^6</f>
        <v>-12891.340071042718</v>
      </c>
      <c r="U44">
        <f>SQRT(($Q44*1000+coord!$B$7*$O44*$R44*1000-coord!$B$2)^2+($R44*1000-coord!$B$7*$O44*$Q44*1000-coord!$C$2)^2+($S44*1000-coord!$D$2)^2)</f>
        <v>23157497.427181713</v>
      </c>
      <c r="V44" s="3">
        <f>$D44-(U44-$T44)-coord!$E$2</f>
        <v>-15.716252755373716</v>
      </c>
      <c r="W44" s="3"/>
      <c r="Y44">
        <f>-(Q44*1000-coord!$B$2)/$U44</f>
        <v>-0.13415050980623799</v>
      </c>
      <c r="Z44">
        <f>-(R44*1000-coord!$C$2)/$U44</f>
        <v>0.79703551734318168</v>
      </c>
      <c r="AA44">
        <f>-(S44*1000-coord!$D$2)/$U44</f>
        <v>-0.58884315629507267</v>
      </c>
      <c r="AB44">
        <v>1</v>
      </c>
      <c r="AD44">
        <v>-0.72670038793429836</v>
      </c>
      <c r="AE44">
        <v>-0.81374718228106369</v>
      </c>
      <c r="AF44">
        <v>-0.58884315629507267</v>
      </c>
      <c r="AG44">
        <v>-0.47476725095673572</v>
      </c>
      <c r="AH44">
        <v>-9.6345966690782214E-2</v>
      </c>
      <c r="AI44">
        <v>-0.83049204280308686</v>
      </c>
      <c r="AJ44">
        <v>7.1963654726810947E-2</v>
      </c>
      <c r="AL44">
        <v>1.1213708722319886</v>
      </c>
      <c r="AM44">
        <v>-0.51305284797157513</v>
      </c>
      <c r="AN44">
        <v>2.4665964818492552</v>
      </c>
      <c r="AO44">
        <v>-3.4589323322342285</v>
      </c>
      <c r="AQ44">
        <v>1.4027970806743921</v>
      </c>
      <c r="AR44">
        <v>0.26078528282500874</v>
      </c>
      <c r="AS44">
        <v>2.3188762084882315</v>
      </c>
      <c r="AT44">
        <v>1.7806046664060124</v>
      </c>
      <c r="AV44">
        <v>38.431930175389304</v>
      </c>
      <c r="AX44">
        <v>16.43097938959113</v>
      </c>
      <c r="BA44">
        <f>SQRT(($Q44*1000+coord!$B$7*$O44*$R44*1000-coord!$B$2-AX$42)^2+($R44*1000-coord!$B$7*$O44*$Q44*1000-coord!$C$2-AX$43)^2+($S44*1000-coord!$D$2-AX$44)^2)</f>
        <v>23157470.264675532</v>
      </c>
      <c r="BB44" s="3">
        <f t="shared" si="10"/>
        <v>5.0626354006243304</v>
      </c>
      <c r="BD44" s="1"/>
      <c r="BE44" s="1"/>
      <c r="BF44" s="1"/>
      <c r="BS44">
        <f>COS(RADIANS(BH42))</f>
        <v>0.7020132422215285</v>
      </c>
      <c r="BT44">
        <v>0</v>
      </c>
      <c r="BU44">
        <f>SIN(RADIANS(BH42))</f>
        <v>0.71216389107116174</v>
      </c>
      <c r="BW44" t="s">
        <v>95</v>
      </c>
      <c r="BX44">
        <v>0.68693680440352312</v>
      </c>
      <c r="BY44">
        <v>0.14470804749653088</v>
      </c>
      <c r="BZ44">
        <v>0.71216389107116174</v>
      </c>
      <c r="CA44">
        <v>0</v>
      </c>
      <c r="CB44" s="1">
        <v>14.5242324881734</v>
      </c>
      <c r="CD44" s="1"/>
      <c r="CE44" s="1"/>
      <c r="CF44" s="1"/>
      <c r="CH44">
        <v>2.6926287474203621</v>
      </c>
      <c r="CI44">
        <v>0.19048179754777311</v>
      </c>
      <c r="CJ44">
        <v>2.6527905764678175</v>
      </c>
      <c r="CK44">
        <v>2.5305231179953487</v>
      </c>
      <c r="CM44">
        <v>0.70201324222152861</v>
      </c>
      <c r="CN44">
        <v>2.8364736759986765E-17</v>
      </c>
      <c r="CO44">
        <v>0.71216389107116174</v>
      </c>
      <c r="CP44">
        <v>0</v>
      </c>
      <c r="CR44" s="5">
        <v>-4.2079431896327568E-2</v>
      </c>
      <c r="CS44" s="5">
        <v>-0.36864844678536413</v>
      </c>
      <c r="CT44" s="5">
        <v>3.7664516953390033</v>
      </c>
      <c r="CU44" s="5">
        <v>2.5305231179953487</v>
      </c>
    </row>
    <row r="45" spans="1:108">
      <c r="A45">
        <v>10</v>
      </c>
      <c r="B45">
        <f t="shared" si="9"/>
        <v>0.33333333333333331</v>
      </c>
      <c r="C45">
        <v>4</v>
      </c>
      <c r="D45">
        <v>21086517.662</v>
      </c>
      <c r="E45">
        <v>110810398.41049001</v>
      </c>
      <c r="F45">
        <v>-695.64800000000002</v>
      </c>
      <c r="G45">
        <v>21086517.215999998</v>
      </c>
      <c r="H45">
        <v>86345761.990480006</v>
      </c>
      <c r="J45" s="5">
        <f>'sv04'!$AA$3+'sv04'!$Z$3*($B45)+'sv04'!$Y$3*($B45)^2+'sv04'!$X$3*($B45)^3+'sv04'!$W$3*($B45)^4+'sv04'!$V$3*($B45)^5+'sv04'!$U$3*($B45)^6+'sv04'!$T$3*($B45)^7+'sv04'!$S$3*($B45)^8</f>
        <v>21068.950403362811</v>
      </c>
      <c r="K45" s="5">
        <f>'sv04'!$AA$4+'sv04'!$Z$4*($B45)+'sv04'!$Y$4*($B45)^2+'sv04'!$X$4*($B45)^3+'sv04'!$W$4*($B45)^4+'sv04'!$V$4*($B45)^5+'sv04'!$U$4*($B45)^6+'sv04'!$T$4*($B45)^7+'sv04'!$S$4*($B45)^8</f>
        <v>-7263.4741002065102</v>
      </c>
      <c r="L45" s="5">
        <f>'sv04'!$AA$5+'sv04'!$Z$5*($B45)+'sv04'!$Y$5*($B45)^2+'sv04'!$X$5*($B45)^3+'sv04'!$W$5*($B45)^4+'sv04'!$V$5*($B45)^5+'sv04'!$U$5*($B45)^6+'sv04'!$T$5*($B45)^7+'sv04'!$S$5*($B45)^8</f>
        <v>14542.947039082708</v>
      </c>
      <c r="M45" s="5">
        <f>'sv04'!$AA$6+'sv04'!$Z$6*$B45+'sv04'!$Y$6*$B45^2+'sv04'!$X$6*$B45^3+'sv04'!$W$6*$B45^4+'sv04'!$V$6*$B45^5+'sv04'!$U$6*$B45^6+'sv04'!$T$6*$B45^7+'sv04'!$S$6*$B45^8</f>
        <v>86.597342103300022</v>
      </c>
      <c r="O45">
        <f>SQRT(($J45*1000-coord!$B$2)^2+($K45*1000-coord!$C$2)^2+($L45*1000-coord!$D$2)^2)/coord!$B$6</f>
        <v>7.0423636181122781E-2</v>
      </c>
      <c r="Q45" s="5">
        <f>'sv04'!$AA$3+'sv04'!$Z$3*($B45-$O45/3600)+'sv04'!$Y$3*($B45-$O45/3600)^2+'sv04'!$X$3*($B45-$O45/3600)^3+'sv04'!$W$3*($B45-$O45/3600)^4+'sv04'!$V$3*($B45-$O45/3600)^5+'sv04'!$U$3*($B45-$O45/3600)^6+'sv04'!$T$3*($B45-$O45/3600)^7+'sv04'!$S$3*($B45-$O45/3600)^8+K45*coord!$B$7*O45</f>
        <v>21068.786152117464</v>
      </c>
      <c r="R45" s="5">
        <f>'sv04'!$AA$4+'sv04'!$Z$4*($B45-$O45/3600)+'sv04'!$Y$4*($B45-$O45/3600)^2+'sv04'!$X$4*($B45-$O45/3600)^3+'sv04'!$W$4*($B45-$O45/3600)^4+'sv04'!$V$4*($B45-$O45/3600)^5+'sv04'!$U$4*($B45-$O45/3600)^6+'sv04'!$T$4*($B45-$O45/3600)^7+'sv04'!$S$4*($B45-$O45/3600)^8-J45*coord!$B$7*O45</f>
        <v>-7263.6205384082987</v>
      </c>
      <c r="S45" s="5">
        <f>'sv04'!$AA$5+'sv04'!$Z$5*($B45-$O45/3600)+'sv04'!$Y$5*($B45-$O45/3600)^2+'sv04'!$X$5*($B45-$O45/3600)^3+'sv04'!$W$5*($B45-$O45/3600)^4+'sv04'!$V$5*($B45-$O45/3600)^5+'sv04'!$U$5*($B45-$O45/3600)^6+'sv04'!$T$5*($B45-$O45/3600)^7+'sv04'!$S$5*($B45-$O45/3600)^8</f>
        <v>14543.107423870375</v>
      </c>
      <c r="T45">
        <f>coord!$B$6*M45/10^6</f>
        <v>25961.230045415203</v>
      </c>
      <c r="U45">
        <f>SQRT(($Q45*1000+coord!$B$7*$O45*$R45*1000-coord!$B$2)^2+($R45*1000-coord!$B$7*$O45*$Q45*1000-coord!$C$2)^2+($S45*1000-coord!$D$2)^2)</f>
        <v>21112490.65593994</v>
      </c>
      <c r="V45" s="3">
        <f>$D45-(U45-$T45)-coord!$E$2</f>
        <v>-11.763894524425268</v>
      </c>
      <c r="W45" s="3"/>
      <c r="Y45">
        <f>-(Q45*1000-coord!$B$2)/$U45</f>
        <v>-0.7900492771384422</v>
      </c>
      <c r="Z45">
        <f>-(R45*1000-coord!$C$2)/$U45</f>
        <v>0.38783632329540307</v>
      </c>
      <c r="AA45">
        <f>-(S45*1000-coord!$D$2)/$U45</f>
        <v>-0.47476725095673572</v>
      </c>
      <c r="AB45">
        <v>1</v>
      </c>
      <c r="AD45">
        <v>1</v>
      </c>
      <c r="AE45">
        <v>1</v>
      </c>
      <c r="AF45">
        <v>1</v>
      </c>
      <c r="AG45">
        <v>1</v>
      </c>
      <c r="AH45">
        <v>1</v>
      </c>
      <c r="AI45">
        <v>1</v>
      </c>
      <c r="AJ45">
        <v>1</v>
      </c>
      <c r="AL45">
        <v>-3.1728417967048337</v>
      </c>
      <c r="AM45">
        <v>2.8592246176774E-2</v>
      </c>
      <c r="AN45">
        <v>-3.4589323322342285</v>
      </c>
      <c r="AO45">
        <v>7</v>
      </c>
      <c r="AQ45">
        <v>1.8200479752089664</v>
      </c>
      <c r="AR45">
        <v>8.41890314173208E-2</v>
      </c>
      <c r="AS45">
        <v>1.7806046664060127</v>
      </c>
      <c r="AT45">
        <v>1.8473297408283205</v>
      </c>
      <c r="AV45">
        <v>-39.488491337746382</v>
      </c>
      <c r="AX45">
        <v>6.3836180257486745</v>
      </c>
      <c r="BA45">
        <f>SQRT(($Q45*1000+coord!$B$7*$O45*$R45*1000-coord!$B$2-AX$42)^2+($R45*1000-coord!$B$7*$O45*$Q45*1000-coord!$C$2-AX$43)^2+($S45*1000-coord!$D$2-AX$44)^2)</f>
        <v>21112468.234419931</v>
      </c>
      <c r="BB45" s="3">
        <f t="shared" si="10"/>
        <v>4.2740074594629363</v>
      </c>
      <c r="BD45" s="1"/>
      <c r="BE45" s="1"/>
      <c r="BF45" s="1"/>
      <c r="BX45">
        <v>0</v>
      </c>
      <c r="BY45">
        <v>0</v>
      </c>
      <c r="BZ45">
        <v>0</v>
      </c>
      <c r="CA45">
        <v>1</v>
      </c>
      <c r="CD45" s="1"/>
      <c r="CE45" s="1"/>
      <c r="CF45" s="1"/>
      <c r="CH45">
        <v>1.8200479752089664</v>
      </c>
      <c r="CI45">
        <v>8.41890314173208E-2</v>
      </c>
      <c r="CJ45">
        <v>1.7806046664060127</v>
      </c>
      <c r="CK45">
        <v>1.8473297408283205</v>
      </c>
      <c r="CM45">
        <v>0</v>
      </c>
      <c r="CN45">
        <v>0</v>
      </c>
      <c r="CO45">
        <v>0</v>
      </c>
      <c r="CP45">
        <v>1</v>
      </c>
      <c r="CR45" s="5">
        <v>-3.0686776908811053E-2</v>
      </c>
      <c r="CS45" s="5">
        <v>-0.29279083680019852</v>
      </c>
      <c r="CT45" s="5">
        <v>2.5305231179953482</v>
      </c>
      <c r="CU45" s="5">
        <v>1.8473297408283205</v>
      </c>
    </row>
    <row r="46" spans="1:108">
      <c r="A46">
        <v>10</v>
      </c>
      <c r="B46">
        <f t="shared" si="9"/>
        <v>0.33333333333333331</v>
      </c>
      <c r="C46">
        <v>20</v>
      </c>
      <c r="D46">
        <v>22802200.447000001</v>
      </c>
      <c r="E46">
        <v>119826369.23548</v>
      </c>
      <c r="F46">
        <v>-2961.8620000000001</v>
      </c>
      <c r="G46">
        <v>22802199.401999999</v>
      </c>
      <c r="H46">
        <v>93371191.707460001</v>
      </c>
      <c r="J46" s="5">
        <f>'sv20'!$AA$3+'sv20'!$Z$3*($B46)+'sv20'!$Y$3*($B46)^2+'sv20'!$X$3*($B46)^3+'sv20'!$W$3*($B46)^4+'sv20'!$V$3*($B46)^5+'sv20'!$U$3*($B46)^6+'sv20'!$T$3*($B46)^7+'sv20'!$S$3*($B46)^8</f>
        <v>14181.463379184861</v>
      </c>
      <c r="K46" s="5">
        <f>'sv20'!$AA$4+'sv20'!$Z$4*($B46)+'sv20'!$Y$4*($B46)^2+'sv20'!$X$4*($B46)^3+'sv20'!$W$4*($B46)^4+'sv20'!$V$4*($B46)^5+'sv20'!$U$4*($B46)^6+'sv20'!$T$4*($B46)^7+'sv20'!$S$4*($B46)^8</f>
        <v>21417.965088376412</v>
      </c>
      <c r="L46" s="5">
        <f>'sv20'!$AA$5+'sv20'!$Z$5*($B46)+'sv20'!$Y$5*($B46)^2+'sv20'!$X$5*($B46)^3+'sv20'!$W$5*($B46)^4+'sv20'!$V$5*($B46)^5+'sv20'!$U$5*($B46)^6+'sv20'!$T$5*($B46)^7+'sv20'!$S$5*($B46)^8</f>
        <v>6717.8727745081169</v>
      </c>
      <c r="M46" s="5">
        <f>'sv20'!$AA$6+'sv20'!$Z$6*$B46+'sv20'!$Y$6*$B46^2+'sv20'!$X$6*$B46^3+'sv20'!$W$6*$B46^4+'sv20'!$V$6*$B46^5+'sv20'!$U$6*$B46^6+'sv20'!$T$6*$B46^7+'sv20'!$S$6*$B46^8</f>
        <v>55.818036172368195</v>
      </c>
      <c r="O46">
        <f>SQRT(($J46*1000-coord!$B$2)^2+($K46*1000-coord!$C$2)^2+($L46*1000-coord!$D$2)^2)/coord!$B$6</f>
        <v>7.6115965471437438E-2</v>
      </c>
      <c r="Q46" s="5">
        <f>'sv20'!$AA$3+'sv20'!$Z$3*($B46-$O46/3600)+'sv20'!$Y$3*($B46-$O46/3600)^2+'sv20'!$X$3*($B46-$O46/3600)^3+'sv20'!$W$3*($B46-$O46/3600)^4+'sv20'!$V$3*($B46-$O46/3600)^5+'sv20'!$U$3*($B46-$O46/3600)^6+'sv20'!$T$3*($B46-$O46/3600)^7+'sv20'!$S$3*($B46-$O46/3600)^8+K46*coord!$B$7*O46</f>
        <v>14181.580533412891</v>
      </c>
      <c r="R46" s="5">
        <f>'sv20'!$AA$4+'sv20'!$Z$4*($B46-$O46/3600)+'sv20'!$Y$4*($B46-$O46/3600)^2+'sv20'!$X$4*($B46-$O46/3600)^3+'sv20'!$W$4*($B46-$O46/3600)^4+'sv20'!$V$4*($B46-$O46/3600)^5+'sv20'!$U$4*($B46-$O46/3600)^6+'sv20'!$T$4*($B46-$O46/3600)^7+'sv20'!$S$4*($B46-$O46/3600)^8-J46*coord!$B$7*O46</f>
        <v>21417.815243617741</v>
      </c>
      <c r="S46" s="5">
        <f>'sv20'!$AA$5+'sv20'!$Z$5*($B46-$O46/3600)+'sv20'!$Y$5*($B46-$O46/3600)^2+'sv20'!$X$5*($B46-$O46/3600)^3+'sv20'!$W$5*($B46-$O46/3600)^4+'sv20'!$V$5*($B46-$O46/3600)^5+'sv20'!$U$5*($B46-$O46/3600)^6+'sv20'!$T$5*($B46-$O46/3600)^7+'sv20'!$S$5*($B46-$O46/3600)^8</f>
        <v>6718.0982296625034</v>
      </c>
      <c r="T46">
        <f>coord!$B$6*M46/10^6</f>
        <v>16733.826264847175</v>
      </c>
      <c r="U46">
        <f>SQRT(($Q46*1000+coord!$B$7*$O46*$R46*1000-coord!$B$2)^2+($R46*1000-coord!$B$7*$O46*$Q46*1000-coord!$C$2)^2+($S46*1000-coord!$D$2)^2)</f>
        <v>22818910.130597539</v>
      </c>
      <c r="V46" s="3">
        <f>$D46-(U46-$T46)-coord!$E$2</f>
        <v>24.142667308449745</v>
      </c>
      <c r="W46" s="3"/>
      <c r="Y46">
        <f>-(Q46*1000-coord!$B$2)/$U46</f>
        <v>-0.42914855733981794</v>
      </c>
      <c r="Z46">
        <f>-(R46*1000-coord!$C$2)/$U46</f>
        <v>-0.89808167494111169</v>
      </c>
      <c r="AA46">
        <f>-(S46*1000-coord!$D$2)/$U46</f>
        <v>-9.6345966690782214E-2</v>
      </c>
      <c r="AB46">
        <v>1</v>
      </c>
      <c r="BA46">
        <f>SQRT(($Q46*1000+coord!$B$7*$O46*$R46*1000-coord!$B$2-AX$42)^2+($R46*1000-coord!$B$7*$O46*$Q46*1000-coord!$C$2-AX$43)^2+($S46*1000-coord!$D$2-AX$44)^2)</f>
        <v>22818923.358512904</v>
      </c>
      <c r="BB46" s="3">
        <f t="shared" si="10"/>
        <v>4.5311339174521521</v>
      </c>
      <c r="BD46" s="1"/>
      <c r="BE46" s="1"/>
      <c r="BF46" s="1"/>
      <c r="CD46" s="1"/>
      <c r="CE46" s="1"/>
      <c r="CF46" s="1"/>
    </row>
    <row r="47" spans="1:108">
      <c r="A47">
        <v>10</v>
      </c>
      <c r="B47">
        <f t="shared" si="9"/>
        <v>0.33333333333333331</v>
      </c>
      <c r="C47">
        <v>13</v>
      </c>
      <c r="D47">
        <v>20088479.416999999</v>
      </c>
      <c r="E47">
        <v>105565669.90849</v>
      </c>
      <c r="F47">
        <v>-498.91399999999999</v>
      </c>
      <c r="G47">
        <v>20088477.353999998</v>
      </c>
      <c r="H47">
        <v>82258955.657480001</v>
      </c>
      <c r="J47" s="5">
        <f>'sv13'!$AA$3+'sv13'!$Z$3*($B47)+'sv13'!$Y$3*($B47)^2+'sv13'!$X$3*($B47)^3+'sv13'!$W$3*($B47)^4+'sv13'!$V$3*($B47)^5+'sv13'!$U$3*($B47)^6+'sv13'!$T$3*($B47)^7+'sv13'!$S$3*($B47)^8</f>
        <v>15151.738256890678</v>
      </c>
      <c r="K47" s="5">
        <f>'sv13'!$AA$4+'sv13'!$Z$4*($B47)+'sv13'!$Y$4*($B47)^2+'sv13'!$X$4*($B47)^3+'sv13'!$W$4*($B47)^4+'sv13'!$V$4*($B47)^5+'sv13'!$U$4*($B47)^6+'sv13'!$T$4*($B47)^7+'sv13'!$S$4*($B47)^8</f>
        <v>4166.8734525127247</v>
      </c>
      <c r="L47" s="5">
        <f>'sv13'!$AA$5+'sv13'!$Z$5*($B47)+'sv13'!$Y$5*($B47)^2+'sv13'!$X$5*($B47)^3+'sv13'!$W$5*($B47)^4+'sv13'!$V$5*($B47)^5+'sv13'!$U$5*($B47)^6+'sv13'!$T$5*($B47)^7+'sv13'!$S$5*($B47)^8</f>
        <v>21278.719767728369</v>
      </c>
      <c r="M47" s="5">
        <f>'sv13'!$AA$6+'sv13'!$Z$6*$B47+'sv13'!$Y$6*$B47^2+'sv13'!$X$6*$B47^3+'sv13'!$W$6*$B47^4+'sv13'!$V$6*$B47^5+'sv13'!$U$6*$B47^6+'sv13'!$T$6*$B47^7+'sv13'!$S$6*$B47^8</f>
        <v>304.21959081048681</v>
      </c>
      <c r="O47">
        <f>SQRT(($J47*1000-coord!$B$2)^2+($K47*1000-coord!$C$2)^2+($L47*1000-coord!$D$2)^2)/coord!$B$6</f>
        <v>6.7312224119287944E-2</v>
      </c>
      <c r="Q47" s="5">
        <f>'sv13'!$AA$3+'sv13'!$Z$3*($B47-$O47/3600)+'sv13'!$Y$3*($B47-$O47/3600)^2+'sv13'!$X$3*($B47-$O47/3600)^3+'sv13'!$W$3*($B47-$O47/3600)^4+'sv13'!$V$3*($B47-$O47/3600)^5+'sv13'!$U$3*($B47-$O47/3600)^6+'sv13'!$T$3*($B47-$O47/3600)^7+'sv13'!$S$3*($B47-$O47/3600)^8+K47*coord!$B$7*O47</f>
        <v>15151.8820768147</v>
      </c>
      <c r="R47" s="5">
        <f>'sv13'!$AA$4+'sv13'!$Z$4*($B47-$O47/3600)+'sv13'!$Y$4*($B47-$O47/3600)^2+'sv13'!$X$4*($B47-$O47/3600)^3+'sv13'!$W$4*($B47-$O47/3600)^4+'sv13'!$V$4*($B47-$O47/3600)^5+'sv13'!$U$4*($B47-$O47/3600)^6+'sv13'!$T$4*($B47-$O47/3600)^7+'sv13'!$S$4*($B47-$O47/3600)^8-J47*coord!$B$7*O47</f>
        <v>4166.6632403272042</v>
      </c>
      <c r="S47" s="5">
        <f>'sv13'!$AA$5+'sv13'!$Z$5*($B47-$O47/3600)+'sv13'!$Y$5*($B47-$O47/3600)^2+'sv13'!$X$5*($B47-$O47/3600)^3+'sv13'!$W$5*($B47-$O47/3600)^4+'sv13'!$V$5*($B47-$O47/3600)^5+'sv13'!$U$5*($B47-$O47/3600)^6+'sv13'!$T$5*($B47-$O47/3600)^7+'sv13'!$S$5*($B47-$O47/3600)^8</f>
        <v>21278.65912656311</v>
      </c>
      <c r="T47">
        <f>coord!$B$6*M47/10^6</f>
        <v>91202.738900830052</v>
      </c>
      <c r="U47">
        <f>SQRT(($Q47*1000+coord!$B$7*$O47*$R47*1000-coord!$B$2)^2+($R47*1000-coord!$B$7*$O47*$Q47*1000-coord!$C$2)^2+($S47*1000-coord!$D$2)^2)</f>
        <v>20179688.65264222</v>
      </c>
      <c r="V47" s="3">
        <f>$D47-(U47-$T47)-coord!$E$2</f>
        <v>-6.4967413917183876</v>
      </c>
      <c r="W47" s="3"/>
      <c r="Y47">
        <f>-(Q47*1000-coord!$B$2)/$U47</f>
        <v>-0.53335827382081291</v>
      </c>
      <c r="Z47">
        <f>-(R47*1000-coord!$C$2)/$U47</f>
        <v>-0.16066120161386641</v>
      </c>
      <c r="AA47">
        <f>-(S47*1000-coord!$D$2)/$U47</f>
        <v>-0.83049204280308686</v>
      </c>
      <c r="AB47">
        <v>1</v>
      </c>
      <c r="BA47">
        <f>SQRT(($Q47*1000+coord!$B$7*$O47*$R47*1000-coord!$B$2-AX$42)^2+($R47*1000-coord!$B$7*$O47*$Q47*1000-coord!$C$2-AX$43)^2+($S47*1000-coord!$D$2-AX$44)^2)</f>
        <v>20179673.806443799</v>
      </c>
      <c r="BB47" s="3">
        <f t="shared" si="10"/>
        <v>1.9658390035045699</v>
      </c>
      <c r="BD47" s="1"/>
      <c r="BE47" s="1"/>
      <c r="BF47" s="1"/>
      <c r="CD47" s="1"/>
      <c r="CE47" s="1"/>
      <c r="CF47" s="1"/>
    </row>
    <row r="48" spans="1:108">
      <c r="A48">
        <v>10</v>
      </c>
      <c r="B48">
        <f t="shared" si="9"/>
        <v>0.33333333333333331</v>
      </c>
      <c r="C48">
        <v>7</v>
      </c>
      <c r="D48">
        <v>22064938.184</v>
      </c>
      <c r="E48">
        <v>115952033.54849</v>
      </c>
      <c r="F48">
        <v>3034.9209999999998</v>
      </c>
      <c r="G48">
        <v>22064937.002999999</v>
      </c>
      <c r="H48">
        <v>90352234.116469994</v>
      </c>
      <c r="J48" s="5">
        <f>'sv07'!$AA$3+'sv07'!$Z$3*($B48)+'sv07'!$Y$3*($B48)^2+'sv07'!$X$3*($B48)^3+'sv07'!$W$3*($B48)^4+'sv07'!$V$3*($B48)^5+'sv07'!$U$3*($B48)^6+'sv07'!$T$3*($B48)^7+'sv07'!$S$3*($B48)^8</f>
        <v>25714.271225155739</v>
      </c>
      <c r="K48" s="5">
        <f>'sv07'!$AA$4+'sv07'!$Z$4*($B48)+'sv07'!$Y$4*($B48)^2+'sv07'!$X$4*($B48)^3+'sv07'!$W$4*($B48)^4+'sv07'!$V$4*($B48)^5+'sv07'!$U$4*($B48)^6+'sv07'!$T$4*($B48)^7+'sv07'!$S$4*($B48)^8</f>
        <v>6361.3328247492254</v>
      </c>
      <c r="L48" s="5">
        <f>'sv07'!$AA$5+'sv07'!$Z$5*($B48)+'sv07'!$Y$5*($B48)^2+'sv07'!$X$5*($B48)^3+'sv07'!$W$5*($B48)^4+'sv07'!$V$5*($B48)^5+'sv07'!$U$5*($B48)^6+'sv07'!$T$5*($B48)^7+'sv07'!$S$5*($B48)^8</f>
        <v>2931.9608948036257</v>
      </c>
      <c r="M48" s="5">
        <f>'sv07'!$AA$6+'sv07'!$Z$6*$B48+'sv07'!$Y$6*$B48^2+'sv07'!$X$6*$B48^3+'sv07'!$W$6*$B48^4+'sv07'!$V$6*$B48^5+'sv07'!$U$6*$B48^6+'sv07'!$T$6*$B48^7+'sv07'!$S$6*$B48^8</f>
        <v>-0.63764111343826102</v>
      </c>
      <c r="O48">
        <f>SQRT(($J48*1000-coord!$B$2)^2+($K48*1000-coord!$C$2)^2+($L48*1000-coord!$D$2)^2)/coord!$B$6</f>
        <v>7.3599943461346781E-2</v>
      </c>
      <c r="Q48" s="5">
        <f>'sv07'!$AA$3+'sv07'!$Z$3*($B48-$O48/3600)+'sv07'!$Y$3*($B48-$O48/3600)^2+'sv07'!$X$3*($B48-$O48/3600)^3+'sv07'!$W$3*($B48-$O48/3600)^4+'sv07'!$V$3*($B48-$O48/3600)^5+'sv07'!$U$3*($B48-$O48/3600)^6+'sv07'!$T$3*($B48-$O48/3600)^7+'sv07'!$S$3*($B48-$O48/3600)^8+K48*coord!$B$7*O48</f>
        <v>25714.335155437249</v>
      </c>
      <c r="R48" s="5">
        <f>'sv07'!$AA$4+'sv07'!$Z$4*($B48-$O48/3600)+'sv07'!$Y$4*($B48-$O48/3600)^2+'sv07'!$X$4*($B48-$O48/3600)^3+'sv07'!$W$4*($B48-$O48/3600)^4+'sv07'!$V$4*($B48-$O48/3600)^5+'sv07'!$U$4*($B48-$O48/3600)^6+'sv07'!$T$4*($B48-$O48/3600)^7+'sv07'!$S$4*($B48-$O48/3600)^8-J48*coord!$B$7*O48</f>
        <v>6361.1825761001974</v>
      </c>
      <c r="S48" s="5">
        <f>'sv07'!$AA$5+'sv07'!$Z$5*($B48-$O48/3600)+'sv07'!$Y$5*($B48-$O48/3600)^2+'sv07'!$X$5*($B48-$O48/3600)^3+'sv07'!$W$5*($B48-$O48/3600)^4+'sv07'!$V$5*($B48-$O48/3600)^5+'sv07'!$U$5*($B48-$O48/3600)^6+'sv07'!$T$5*($B48-$O48/3600)^7+'sv07'!$S$5*($B48-$O48/3600)^8</f>
        <v>2931.7283349582576</v>
      </c>
      <c r="T48">
        <f>coord!$B$6*M48/10^6</f>
        <v>-191.15999671951309</v>
      </c>
      <c r="U48">
        <f>SQRT(($Q48*1000+coord!$B$7*$O48*$R48*1000-coord!$B$2)^2+($R48*1000-coord!$B$7*$O48*$Q48*1000-coord!$C$2)^2+($S48*1000-coord!$D$2)^2)</f>
        <v>22064748.453501839</v>
      </c>
      <c r="V48" s="3">
        <f>$D48-(U48-$T48)-coord!$E$2</f>
        <v>-1.4294985570013523</v>
      </c>
      <c r="W48" s="3" t="s">
        <v>127</v>
      </c>
      <c r="X48" s="1" t="s">
        <v>128</v>
      </c>
      <c r="Y48">
        <f>-(Q48*1000-coord!$B$2)/$U48</f>
        <v>-0.96649445288612579</v>
      </c>
      <c r="Z48">
        <f>-(R48*1000-coord!$C$2)/$U48</f>
        <v>-0.24639357998379388</v>
      </c>
      <c r="AA48">
        <f>-(S48*1000-coord!$D$2)/$U48</f>
        <v>7.1963654726810947E-2</v>
      </c>
      <c r="AB48">
        <v>1</v>
      </c>
      <c r="BA48">
        <f>SQRT(($Q48*1000+coord!$B$7*$O48*$R48*1000-coord!$B$2-AX$42)^2+($R48*1000-coord!$B$7*$O48*$Q48*1000-coord!$C$2-AX$43)^2+($S48*1000-coord!$D$2-AX$44)^2)</f>
        <v>22064746.542599503</v>
      </c>
      <c r="BB48" s="3">
        <f t="shared" si="10"/>
        <v>-5.9022142465102121</v>
      </c>
      <c r="BC48" s="3" t="s">
        <v>127</v>
      </c>
      <c r="BD48" s="1" t="s">
        <v>128</v>
      </c>
      <c r="BE48" s="1"/>
      <c r="BF48" s="1"/>
      <c r="CD48" s="1"/>
      <c r="CE48" s="1"/>
      <c r="CF48" s="1"/>
    </row>
    <row r="49" spans="1:108">
      <c r="V49" s="3"/>
      <c r="W49" s="3">
        <f>AVERAGE($V42:$V48)</f>
        <v>-5.6412130482494831</v>
      </c>
      <c r="X49" s="1">
        <f>SQRT(DEVSQ($V42:$V48)/6)</f>
        <v>15.892159221892747</v>
      </c>
      <c r="BB49" s="3"/>
      <c r="BC49" s="3">
        <f>AVERAGE($BB42:$BB48)</f>
        <v>6.2308832121565108E-5</v>
      </c>
      <c r="BD49" s="1">
        <f>SQRT(DEVSQ($BB42:$BB48)/6)</f>
        <v>5.1315003505246066</v>
      </c>
      <c r="BE49" s="1"/>
      <c r="BF49" s="1"/>
      <c r="CD49" s="1"/>
      <c r="CE49" s="1"/>
      <c r="CF49" s="1"/>
    </row>
    <row r="50" spans="1:108">
      <c r="A50">
        <v>12</v>
      </c>
      <c r="B50">
        <f t="shared" ref="B50:B56" si="11">(60-45)/60+30*A50/3600</f>
        <v>0.35</v>
      </c>
      <c r="C50">
        <v>2</v>
      </c>
      <c r="D50">
        <v>22759743.903999999</v>
      </c>
      <c r="E50">
        <v>119603268.53148</v>
      </c>
      <c r="F50">
        <v>2436.2930000000001</v>
      </c>
      <c r="G50">
        <v>22759741.835999999</v>
      </c>
      <c r="H50">
        <v>93197341.351469994</v>
      </c>
      <c r="J50" s="5">
        <f>'sv02'!$AA$3+'sv02'!$Z$3*($B50)+'sv02'!$Y$3*($B50)^2+'sv02'!$X$3*($B50)^3+'sv02'!$W$3*($B50)^4+'sv02'!$V$3*($B50)^5+'sv02'!$U$3*($B50)^6+'sv02'!$T$3*($B50)^7+'sv02'!$S$3*($B50)^8</f>
        <v>6535.4874500267388</v>
      </c>
      <c r="K50" s="5">
        <f>'sv02'!$AA$4+'sv02'!$Z$4*($B50)+'sv02'!$Y$4*($B50)^2+'sv02'!$X$4*($B50)^3+'sv02'!$W$4*($B50)^4+'sv02'!$V$4*($B50)^5+'sv02'!$U$4*($B50)^6+'sv02'!$T$4*($B50)^7+'sv02'!$S$4*($B50)^8</f>
        <v>-14628.20796373102</v>
      </c>
      <c r="L50" s="5">
        <f>'sv02'!$AA$5+'sv02'!$Z$5*($B50)+'sv02'!$Y$5*($B50)^2+'sv02'!$X$5*($B50)^3+'sv02'!$W$5*($B50)^4+'sv02'!$V$5*($B50)^5+'sv02'!$U$5*($B50)^6+'sv02'!$T$5*($B50)^7+'sv02'!$S$5*($B50)^8</f>
        <v>21103.56445851938</v>
      </c>
      <c r="M50" s="5">
        <f>'sv02'!$AA$6+'sv02'!$Z$6*$B50+'sv02'!$Y$6*$B50^2+'sv02'!$X$6*$B50^3+'sv02'!$W$6*$B50^4+'sv02'!$V$6*$B50^5+'sv02'!$U$6*$B50^6+'sv02'!$T$6*$B50^7+'sv02'!$S$6*$B50^8</f>
        <v>257.59095938876112</v>
      </c>
      <c r="O50">
        <f>SQRT(($J50*1000-coord!$B$2)^2+($K50*1000-coord!$C$2)^2+($L50*1000-coord!$D$2)^2)/coord!$B$6</f>
        <v>7.6175779548195183E-2</v>
      </c>
      <c r="Q50" s="5">
        <f>'sv02'!$AA$3+'sv02'!$Z$3*($B50-$O50/3600)+'sv02'!$Y$3*($B50-$O50/3600)^2+'sv02'!$X$3*($B50-$O50/3600)^3+'sv02'!$W$3*($B50-$O50/3600)^4+'sv02'!$V$3*($B50-$O50/3600)^5+'sv02'!$U$3*($B50-$O50/3600)^6+'sv02'!$T$3*($B50-$O50/3600)^7+'sv02'!$S$3*($B50-$O50/3600)^8+K50*coord!$B$7*O50</f>
        <v>6535.2035206490082</v>
      </c>
      <c r="R50" s="5">
        <f>'sv02'!$AA$4+'sv02'!$Z$4*($B50-$O50/3600)+'sv02'!$Y$4*($B50-$O50/3600)^2+'sv02'!$X$4*($B50-$O50/3600)^3+'sv02'!$W$4*($B50-$O50/3600)^4+'sv02'!$V$4*($B50-$O50/3600)^5+'sv02'!$U$4*($B50-$O50/3600)^6+'sv02'!$T$4*($B50-$O50/3600)^7+'sv02'!$S$4*($B50-$O50/3600)^8-J50*coord!$B$7*O50</f>
        <v>-14628.279710123983</v>
      </c>
      <c r="S50" s="5">
        <f>'sv02'!$AA$5+'sv02'!$Z$5*($B50-$O50/3600)+'sv02'!$Y$5*($B50-$O50/3600)^2+'sv02'!$X$5*($B50-$O50/3600)^3+'sv02'!$W$5*($B50-$O50/3600)^4+'sv02'!$V$5*($B50-$O50/3600)^5+'sv02'!$U$5*($B50-$O50/3600)^6+'sv02'!$T$5*($B50-$O50/3600)^7+'sv02'!$S$5*($B50-$O50/3600)^8</f>
        <v>21103.606088960853</v>
      </c>
      <c r="T50">
        <f>coord!$B$6*M50/10^6</f>
        <v>77223.826873734884</v>
      </c>
      <c r="U50">
        <f>SQRT(($Q50*1000+coord!$B$7*$O50*$R50*1000-coord!$B$2)^2+($R50*1000-coord!$B$7*$O50*$Q50*1000-coord!$C$2)^2+($S50*1000-coord!$D$2)^2)</f>
        <v>22836993.683845446</v>
      </c>
      <c r="V50" s="3">
        <f>$D50-(U50-$T50)-coord!$E$2</f>
        <v>-25.952971711754799</v>
      </c>
      <c r="W50" s="3"/>
      <c r="Y50">
        <f>-(Q50*1000-coord!$B$2)/$U50</f>
        <v>-9.3984583941418134E-2</v>
      </c>
      <c r="Z50">
        <f>-(R50*1000-coord!$C$2)/$U50</f>
        <v>0.68103753666691424</v>
      </c>
      <c r="AA50">
        <f>-(S50*1000-coord!$D$2)/$U50</f>
        <v>-0.72619093582322725</v>
      </c>
      <c r="AB50">
        <v>1</v>
      </c>
      <c r="AD50">
        <f t="array" ref="AD50:AJ53">TRANSPOSE(Y50:AB56)</f>
        <v>-9.3984583941418134E-2</v>
      </c>
      <c r="AE50">
        <v>-0.22740667968442146</v>
      </c>
      <c r="AF50">
        <v>-0.13685814261922771</v>
      </c>
      <c r="AG50">
        <v>-0.79484325529275524</v>
      </c>
      <c r="AH50">
        <v>-0.42856430245958232</v>
      </c>
      <c r="AI50">
        <v>-0.52776048805466913</v>
      </c>
      <c r="AJ50">
        <v>-0.96687565947160892</v>
      </c>
      <c r="AL50">
        <f t="array" ref="AL50:AO53">MMULT(AD50:AJ53,Y50:AB56)</f>
        <v>2.1080998866423331</v>
      </c>
      <c r="AM50">
        <v>0.35526243818521552</v>
      </c>
      <c r="AN50">
        <v>1.1222891848344723</v>
      </c>
      <c r="AO50">
        <v>-3.176293111523683</v>
      </c>
      <c r="AQ50">
        <f t="array" ref="AQ50:AT53">MINVERSE(AL50:AO53)</f>
        <v>2.4947075389600353</v>
      </c>
      <c r="AR50">
        <v>-7.3964552910247491E-2</v>
      </c>
      <c r="AS50">
        <v>1.4257575614910192</v>
      </c>
      <c r="AT50">
        <v>1.8363947971226469</v>
      </c>
      <c r="AV50">
        <f t="array" ref="AV50:AV53">MMULT(AD50:AJ53,V50:V56)</f>
        <v>6.0898562399901284</v>
      </c>
      <c r="AX50">
        <f t="array" ref="AX50:AX53">MMULT(AQ50:AT53,AV50:AV53)</f>
        <v>8.3500725617448239</v>
      </c>
      <c r="BA50">
        <f>SQRT(($Q50*1000+coord!$B$7*$O50*$R50*1000-coord!$B$2-AX$50)^2+($R50*1000-coord!$B$7*$O50*$Q50*1000-coord!$C$2-AX$51)^2+($S50*1000-coord!$D$2-AX$52)^2)</f>
        <v>22836967.122282367</v>
      </c>
      <c r="BB50" s="3">
        <f>$D50-(BA50-$T50)-AX$53</f>
        <v>-6.4661274157865023</v>
      </c>
      <c r="BD50" s="1">
        <f>coord!$B$2+$AX50</f>
        <v>4388886.5208725622</v>
      </c>
      <c r="BE50" s="1">
        <f>coord!$C$2+$AX51</f>
        <v>924549.69976484473</v>
      </c>
      <c r="BF50" s="1">
        <f>coord!$D$2+$AX52</f>
        <v>4519604.5322333286</v>
      </c>
      <c r="BG50" s="1">
        <f>coord!$E$2+$AX53</f>
        <v>7.0747187823457693</v>
      </c>
      <c r="BH50" s="8">
        <f>lat($BD50,$BE50,$BF50)</f>
        <v>45.411248706751067</v>
      </c>
      <c r="BI50" s="8">
        <f>lon($BD50,$BE50,$BF50)</f>
        <v>11.895828125229439</v>
      </c>
      <c r="BJ50" s="6">
        <f>h($BD50,$BE50,$BF50)</f>
        <v>76.466965303756297</v>
      </c>
      <c r="BL50">
        <f>grado($BH50)</f>
        <v>45</v>
      </c>
      <c r="BM50">
        <f>MINUTOprimo($BH50)</f>
        <v>24</v>
      </c>
      <c r="BN50">
        <f>MINUTOsecondo($BH50)</f>
        <v>40.495344303841421</v>
      </c>
      <c r="BO50">
        <f>grado($BI50)</f>
        <v>11</v>
      </c>
      <c r="BP50">
        <f>MINUTOprimo($BI50)</f>
        <v>53</v>
      </c>
      <c r="BQ50">
        <f>MINUTOsecondo($BI50)</f>
        <v>44.981250825980794</v>
      </c>
      <c r="BS50">
        <f>-SIN(RADIANS(BH50))*COS(RADIANS(BI50))</f>
        <v>-0.6968694500310002</v>
      </c>
      <c r="BT50">
        <f>-SIN(RADIANS(BI50))</f>
        <v>-0.20613293672355526</v>
      </c>
      <c r="BU50">
        <f>COS(RADIANS(BH50))*COS(RADIANS(BI50))</f>
        <v>0.68693681078481594</v>
      </c>
      <c r="BW50" t="s">
        <v>93</v>
      </c>
      <c r="BX50">
        <f t="array" ref="BX50:BZ52">MINVERSE(BS50:BU52)</f>
        <v>-0.69686945003100009</v>
      </c>
      <c r="BY50">
        <v>-0.14680043280620469</v>
      </c>
      <c r="BZ50">
        <v>0.70201324954832756</v>
      </c>
      <c r="CA50">
        <v>0</v>
      </c>
      <c r="CB50" s="1">
        <f t="array" ref="CB50:CB52">MMULT(BX50:BZ52,AX50:AX52)</f>
        <v>8.6057552921716969</v>
      </c>
      <c r="CD50" s="1">
        <f t="array" ref="CD50:CF50">TRANSPOSE(CB50:CB52)</f>
        <v>8.6057552921716969</v>
      </c>
      <c r="CE50" s="1">
        <v>-21.79411353617559</v>
      </c>
      <c r="CF50" s="1">
        <v>14.34582590143129</v>
      </c>
      <c r="CH50">
        <f t="array" ref="CH50:CK53">MMULT(BX50:CA53,AQ50:AT53)</f>
        <v>-0.72672674347331734</v>
      </c>
      <c r="CI50">
        <v>0.17445570854297499</v>
      </c>
      <c r="CJ50">
        <v>0.61537481796569127</v>
      </c>
      <c r="CK50">
        <v>-2.5985338699040073E-2</v>
      </c>
      <c r="CM50">
        <f t="array" ref="CM50:CP53">TRANSPOSE(BX50:CA53)</f>
        <v>-0.69686945003100009</v>
      </c>
      <c r="CN50">
        <v>-0.20613293672355518</v>
      </c>
      <c r="CO50">
        <v>0.68693681078481594</v>
      </c>
      <c r="CP50">
        <v>0</v>
      </c>
      <c r="CR50" s="5">
        <f t="array" ref="CR50:CU53">MMULT(CH50:CK53,CM50:CP53)</f>
        <v>0.91282476817775393</v>
      </c>
      <c r="CS50" s="5">
        <v>0.32051141502326103</v>
      </c>
      <c r="CT50" s="5">
        <v>-3.5722485214335853E-2</v>
      </c>
      <c r="CU50" s="5">
        <v>-2.5985338699040073E-2</v>
      </c>
      <c r="CW50" s="3">
        <f>SQRT(CR50+CS51)</f>
        <v>1.2280448754913045</v>
      </c>
      <c r="CX50" s="3">
        <f>CT52</f>
        <v>3.8159210946819453</v>
      </c>
      <c r="CY50" s="3">
        <f>CU53</f>
        <v>1.8687625050099654</v>
      </c>
      <c r="CZ50" s="3">
        <f>BD57</f>
        <v>4.9679787459635589</v>
      </c>
      <c r="DA50">
        <v>6</v>
      </c>
      <c r="DB50" s="6">
        <f>CY50*DA50*CZ50</f>
        <v>55.703834436858763</v>
      </c>
      <c r="DC50">
        <v>5.33</v>
      </c>
      <c r="DD50" s="6">
        <f>CZ50*DC50*SQRT(0.5*(CR50+CS51)+SQRT((0.5*(CR50-CS51))^2+CS50^2))</f>
        <v>27.919448544662778</v>
      </c>
    </row>
    <row r="51" spans="1:108">
      <c r="A51">
        <v>12</v>
      </c>
      <c r="B51">
        <f t="shared" si="11"/>
        <v>0.35</v>
      </c>
      <c r="C51">
        <v>23</v>
      </c>
      <c r="D51">
        <v>20974794.079</v>
      </c>
      <c r="E51">
        <v>110223286.92648999</v>
      </c>
      <c r="F51">
        <v>-1828.9559999999999</v>
      </c>
      <c r="G51">
        <v>20974791.096000001</v>
      </c>
      <c r="H51">
        <v>85888262.113470003</v>
      </c>
      <c r="J51" s="5">
        <f>'sv23'!$AA$3+'sv23'!$Z$3*($B51)+'sv23'!$Y$3*($B51)^2+'sv23'!$X$3*($B51)^3+'sv23'!$W$3*($B51)^4+'sv23'!$V$3*($B51)^5+'sv23'!$U$3*($B51)^6+'sv23'!$T$3*($B51)^7+'sv23'!$S$3*($B51)^8</f>
        <v>9183.7258994508829</v>
      </c>
      <c r="K51" s="5">
        <f>'sv23'!$AA$4+'sv23'!$Z$4*($B51)+'sv23'!$Y$4*($B51)^2+'sv23'!$X$4*($B51)^3+'sv23'!$W$4*($B51)^4+'sv23'!$V$4*($B51)^5+'sv23'!$U$4*($B51)^6+'sv23'!$T$4*($B51)^7+'sv23'!$S$4*($B51)^8</f>
        <v>12268.887158200127</v>
      </c>
      <c r="L51" s="5">
        <f>'sv23'!$AA$5+'sv23'!$Z$5*($B51)+'sv23'!$Y$5*($B51)^2+'sv23'!$X$5*($B51)^3+'sv23'!$W$5*($B51)^4+'sv23'!$V$5*($B51)^5+'sv23'!$U$5*($B51)^6+'sv23'!$T$5*($B51)^7+'sv23'!$S$5*($B51)^8</f>
        <v>21634.671400619802</v>
      </c>
      <c r="M51" s="5">
        <f>'sv23'!$AA$6+'sv23'!$Z$6*$B51+'sv23'!$Y$6*$B51^2+'sv23'!$X$6*$B51^3+'sv23'!$W$6*$B51^4+'sv23'!$V$6*$B51^5+'sv23'!$U$6*$B51^6+'sv23'!$T$6*$B51^7+'sv23'!$S$6*$B51^8</f>
        <v>370.05712220128578</v>
      </c>
      <c r="O51">
        <f>SQRT(($J51*1000-coord!$B$2)^2+($K51*1000-coord!$C$2)^2+($L51*1000-coord!$D$2)^2)/coord!$B$6</f>
        <v>7.0334594744986448E-2</v>
      </c>
      <c r="Q51" s="5">
        <f>'sv23'!$AA$3+'sv23'!$Z$3*($B51-$O51/3600)+'sv23'!$Y$3*($B51-$O51/3600)^2+'sv23'!$X$3*($B51-$O51/3600)^3+'sv23'!$W$3*($B51-$O51/3600)^4+'sv23'!$V$3*($B51-$O51/3600)^5+'sv23'!$U$3*($B51-$O51/3600)^6+'sv23'!$T$3*($B51-$O51/3600)^7+'sv23'!$S$3*($B51-$O51/3600)^8+K51*coord!$B$7*O51</f>
        <v>9183.9150424741983</v>
      </c>
      <c r="R51" s="5">
        <f>'sv23'!$AA$4+'sv23'!$Z$4*($B51-$O51/3600)+'sv23'!$Y$4*($B51-$O51/3600)^2+'sv23'!$X$4*($B51-$O51/3600)^3+'sv23'!$W$4*($B51-$O51/3600)^4+'sv23'!$V$4*($B51-$O51/3600)^5+'sv23'!$U$4*($B51-$O51/3600)^6+'sv23'!$T$4*($B51-$O51/3600)^7+'sv23'!$S$4*($B51-$O51/3600)^8-J51*coord!$B$7*O51</f>
        <v>12268.692979467429</v>
      </c>
      <c r="S51" s="5">
        <f>'sv23'!$AA$5+'sv23'!$Z$5*($B51-$O51/3600)+'sv23'!$Y$5*($B51-$O51/3600)^2+'sv23'!$X$5*($B51-$O51/3600)^3+'sv23'!$W$5*($B51-$O51/3600)^4+'sv23'!$V$5*($B51-$O51/3600)^5+'sv23'!$U$5*($B51-$O51/3600)^6+'sv23'!$T$5*($B51-$O51/3600)^7+'sv23'!$S$5*($B51-$O51/3600)^8</f>
        <v>21634.703370552579</v>
      </c>
      <c r="T51">
        <f>coord!$B$6*M51/10^6</f>
        <v>110940.33426512983</v>
      </c>
      <c r="U51">
        <f>SQRT(($Q51*1000+coord!$B$7*$O51*$R51*1000-coord!$B$2)^2+($R51*1000-coord!$B$7*$O51*$Q51*1000-coord!$C$2)^2+($S51*1000-coord!$D$2)^2)</f>
        <v>21085734.501415718</v>
      </c>
      <c r="V51" s="3">
        <f>$D51-(U51-$T51)-coord!$E$2</f>
        <v>-8.8150586932897568E-2</v>
      </c>
      <c r="W51" s="3"/>
      <c r="Y51">
        <f>-(Q51*1000-coord!$B$2)/$U51</f>
        <v>-0.22740667968442146</v>
      </c>
      <c r="Z51">
        <f>-(R51*1000-coord!$C$2)/$U51</f>
        <v>-0.53799988639265917</v>
      </c>
      <c r="AA51">
        <f>-(S51*1000-coord!$D$2)/$U51</f>
        <v>-0.81169167216363536</v>
      </c>
      <c r="AB51">
        <v>1</v>
      </c>
      <c r="AD51">
        <v>0.68103753666691424</v>
      </c>
      <c r="AE51">
        <v>-0.53799988639265917</v>
      </c>
      <c r="AF51">
        <v>0.79262704697067166</v>
      </c>
      <c r="AG51">
        <v>0.38615637943116249</v>
      </c>
      <c r="AH51">
        <v>-0.8991758002674809</v>
      </c>
      <c r="AI51">
        <v>-0.16663093048490032</v>
      </c>
      <c r="AJ51">
        <v>-0.24722939897177856</v>
      </c>
      <c r="AL51">
        <v>0.35526243818521552</v>
      </c>
      <c r="AM51">
        <v>2.4280357515695594</v>
      </c>
      <c r="AN51">
        <v>-0.50697254177958395</v>
      </c>
      <c r="AO51">
        <v>8.7849469519294121E-3</v>
      </c>
      <c r="AQ51">
        <v>-7.3964552910247131E-2</v>
      </c>
      <c r="AR51">
        <v>0.47981696885121472</v>
      </c>
      <c r="AS51">
        <v>0.27542131156946398</v>
      </c>
      <c r="AT51">
        <v>0.10189193141660746</v>
      </c>
      <c r="AV51">
        <v>-55.021061561729056</v>
      </c>
      <c r="AX51">
        <v>-20.513435155323705</v>
      </c>
      <c r="BA51">
        <f>SQRT(($Q51*1000+coord!$B$7*$O51*$R51*1000-coord!$B$2-AX$50)^2+($R51*1000-coord!$B$7*$O51*$Q51*1000-coord!$C$2-AX$51)^2+($S51*1000-coord!$D$2-AX$52)^2)</f>
        <v>21085730.4422969</v>
      </c>
      <c r="BB51" s="3">
        <f t="shared" ref="BB51:BB56" si="12">$D51-(BA51-$T51)-AX$53</f>
        <v>-3.1037505507869696</v>
      </c>
      <c r="BD51" s="1"/>
      <c r="BE51" s="1"/>
      <c r="BF51" s="1"/>
      <c r="BS51">
        <f>-SIN(RADIANS(BH50))*SIN(RADIANS(BI50))</f>
        <v>-0.14680043280620467</v>
      </c>
      <c r="BT51">
        <f>COS(RADIANS(BI50))</f>
        <v>0.97852399684306302</v>
      </c>
      <c r="BU51">
        <f>COS(RADIANS(BH50))*SIN(RADIANS(BI50))</f>
        <v>0.14470805274824278</v>
      </c>
      <c r="BW51" t="s">
        <v>94</v>
      </c>
      <c r="BX51">
        <v>-0.20613293672355518</v>
      </c>
      <c r="BY51">
        <v>0.97852399684306302</v>
      </c>
      <c r="BZ51">
        <v>2.8364736792530993E-17</v>
      </c>
      <c r="CA51">
        <v>0</v>
      </c>
      <c r="CB51" s="1">
        <v>-21.79411353617559</v>
      </c>
      <c r="CD51" s="1"/>
      <c r="CE51" s="1"/>
      <c r="CF51" s="1"/>
      <c r="CH51">
        <v>-0.58661748121067026</v>
      </c>
      <c r="CI51">
        <v>0.4847589486182482</v>
      </c>
      <c r="CJ51">
        <v>-2.4389230593248091E-2</v>
      </c>
      <c r="CK51">
        <v>-0.27883775253891047</v>
      </c>
      <c r="CM51">
        <v>-0.14680043280620469</v>
      </c>
      <c r="CN51">
        <v>0.97852399684306302</v>
      </c>
      <c r="CO51">
        <v>0.1447080527482428</v>
      </c>
      <c r="CP51">
        <v>0</v>
      </c>
      <c r="CR51" s="5">
        <v>0.32051141502326114</v>
      </c>
      <c r="CS51" s="5">
        <v>0.59526944804269966</v>
      </c>
      <c r="CT51" s="5">
        <v>-0.35018974737001868</v>
      </c>
      <c r="CU51" s="5">
        <v>-0.27883775253891047</v>
      </c>
    </row>
    <row r="52" spans="1:108">
      <c r="A52">
        <v>12</v>
      </c>
      <c r="B52">
        <f t="shared" si="11"/>
        <v>0.35</v>
      </c>
      <c r="C52">
        <v>10</v>
      </c>
      <c r="D52">
        <v>23135116.236000001</v>
      </c>
      <c r="E52">
        <v>121575856.67148</v>
      </c>
      <c r="F52">
        <v>3083.6469999999999</v>
      </c>
      <c r="G52">
        <v>23135115.965</v>
      </c>
      <c r="H52">
        <v>94734436.879449993</v>
      </c>
      <c r="J52" s="5">
        <f>'sv10'!$AA$3+'sv10'!$Z$3*($B52)+'sv10'!$Y$3*($B52)^2+'sv10'!$X$3*($B52)^3+'sv10'!$W$3*($B52)^4+'sv10'!$V$3*($B52)^5+'sv10'!$U$3*($B52)^6+'sv10'!$T$3*($B52)^7+'sv10'!$S$3*($B52)^8</f>
        <v>7553.5177021413865</v>
      </c>
      <c r="K52" s="5">
        <f>'sv10'!$AA$4+'sv10'!$Z$4*($B52)+'sv10'!$Y$4*($B52)^2+'sv10'!$X$4*($B52)^3+'sv10'!$W$4*($B52)^4+'sv10'!$V$4*($B52)^5+'sv10'!$U$4*($B52)^6+'sv10'!$T$4*($B52)^7+'sv10'!$S$4*($B52)^8</f>
        <v>-17402.532592445295</v>
      </c>
      <c r="L52" s="5">
        <f>'sv10'!$AA$5+'sv10'!$Z$5*($B52)+'sv10'!$Y$5*($B52)^2+'sv10'!$X$5*($B52)^3+'sv10'!$W$5*($B52)^4+'sv10'!$V$5*($B52)^5+'sv10'!$U$5*($B52)^6+'sv10'!$T$5*($B52)^7+'sv10'!$S$5*($B52)^8</f>
        <v>18257.723953667119</v>
      </c>
      <c r="M52" s="5">
        <f>'sv10'!$AA$6+'sv10'!$Z$6*$B52+'sv10'!$Y$6*$B52^2+'sv10'!$X$6*$B52^3+'sv10'!$W$6*$B52^4+'sv10'!$V$6*$B52^5+'sv10'!$U$6*$B52^6+'sv10'!$T$6*$B52^7+'sv10'!$S$6*$B52^8</f>
        <v>-43.000964596557523</v>
      </c>
      <c r="O52">
        <f>SQRT(($J52*1000-coord!$B$2)^2+($K52*1000-coord!$C$2)^2+($L52*1000-coord!$D$2)^2)/coord!$B$6</f>
        <v>7.7127204282237891E-2</v>
      </c>
      <c r="Q52" s="5">
        <f>'sv10'!$AA$3+'sv10'!$Z$3*($B52-$O52/3600)+'sv10'!$Y$3*($B52-$O52/3600)^2+'sv10'!$X$3*($B52-$O52/3600)^3+'sv10'!$W$3*($B52-$O52/3600)^4+'sv10'!$V$3*($B52-$O52/3600)^5+'sv10'!$U$3*($B52-$O52/3600)^6+'sv10'!$T$3*($B52-$O52/3600)^7+'sv10'!$S$3*($B52-$O52/3600)^8+K52*coord!$B$7*O52</f>
        <v>7553.3449857043006</v>
      </c>
      <c r="R52" s="5">
        <f>'sv10'!$AA$4+'sv10'!$Z$4*($B52-$O52/3600)+'sv10'!$Y$4*($B52-$O52/3600)^2+'sv10'!$X$4*($B52-$O52/3600)^3+'sv10'!$W$4*($B52-$O52/3600)^4+'sv10'!$V$4*($B52-$O52/3600)^5+'sv10'!$U$4*($B52-$O52/3600)^6+'sv10'!$T$4*($B52-$O52/3600)^7+'sv10'!$S$4*($B52-$O52/3600)^8-J52*coord!$B$7*O52</f>
        <v>-17402.742570174651</v>
      </c>
      <c r="S52" s="5">
        <f>'sv10'!$AA$5+'sv10'!$Z$5*($B52-$O52/3600)+'sv10'!$Y$5*($B52-$O52/3600)^2+'sv10'!$X$5*($B52-$O52/3600)^3+'sv10'!$W$5*($B52-$O52/3600)^4+'sv10'!$V$5*($B52-$O52/3600)^5+'sv10'!$U$5*($B52-$O52/3600)^6+'sv10'!$T$5*($B52-$O52/3600)^7+'sv10'!$S$5*($B52-$O52/3600)^8</f>
        <v>18257.593924591252</v>
      </c>
      <c r="T52">
        <f>coord!$B$6*M52/10^6</f>
        <v>-12891.36487277296</v>
      </c>
      <c r="U52">
        <f>SQRT(($Q52*1000+coord!$B$7*$O52*$R52*1000-coord!$B$2)^2+($R52*1000-coord!$B$7*$O52*$Q52*1000-coord!$C$2)^2+($S52*1000-coord!$D$2)^2)</f>
        <v>23122239.965718437</v>
      </c>
      <c r="V52" s="3">
        <f>$D52-(U52-$T52)-coord!$E$2</f>
        <v>-15.094591207802296</v>
      </c>
      <c r="W52" s="3"/>
      <c r="Y52">
        <f>-(Q52*1000-coord!$B$2)/$U52</f>
        <v>-0.13685814261922771</v>
      </c>
      <c r="Z52">
        <f>-(R52*1000-coord!$C$2)/$U52</f>
        <v>0.79262704697067166</v>
      </c>
      <c r="AA52">
        <f>-(S52*1000-coord!$D$2)/$U52</f>
        <v>-0.59414683312081928</v>
      </c>
      <c r="AB52">
        <v>1</v>
      </c>
      <c r="AD52">
        <v>-0.72619093582322725</v>
      </c>
      <c r="AE52">
        <v>-0.81169167216363536</v>
      </c>
      <c r="AF52">
        <v>-0.59414683312081928</v>
      </c>
      <c r="AG52">
        <v>-0.46808788504492432</v>
      </c>
      <c r="AH52">
        <v>-8.841519043048697E-2</v>
      </c>
      <c r="AI52">
        <v>-0.83288841907800149</v>
      </c>
      <c r="AJ52">
        <v>6.3475793315814877E-2</v>
      </c>
      <c r="AL52">
        <v>1.1222891848344723</v>
      </c>
      <c r="AM52">
        <v>-0.50697254177958395</v>
      </c>
      <c r="AN52">
        <v>2.4638629142351256</v>
      </c>
      <c r="AO52">
        <v>-3.4579451423452796</v>
      </c>
      <c r="AQ52">
        <v>1.4257575614910201</v>
      </c>
      <c r="AR52">
        <v>0.27542131156946364</v>
      </c>
      <c r="AS52">
        <v>2.3494908030911494</v>
      </c>
      <c r="AT52">
        <v>1.807230667027016</v>
      </c>
      <c r="AV52">
        <v>35.364274033175583</v>
      </c>
      <c r="AX52">
        <v>16.257933328457092</v>
      </c>
      <c r="BA52">
        <f>SQRT(($Q52*1000+coord!$B$7*$O52*$R52*1000-coord!$B$2-AX$50)^2+($R52*1000-coord!$B$7*$O52*$Q52*1000-coord!$C$2-AX$51)^2+($S52*1000-coord!$D$2-AX$52)^2)</f>
        <v>23122212.903838027</v>
      </c>
      <c r="BB52" s="3">
        <f t="shared" si="12"/>
        <v>4.8925704195694948</v>
      </c>
      <c r="BD52" s="1"/>
      <c r="BE52" s="1"/>
      <c r="BF52" s="1"/>
      <c r="BS52">
        <f>COS(RADIANS(BH50))</f>
        <v>0.70201324954832744</v>
      </c>
      <c r="BT52">
        <v>0</v>
      </c>
      <c r="BU52">
        <f>SIN(RADIANS(BH50))</f>
        <v>0.71216388384879337</v>
      </c>
      <c r="BW52" t="s">
        <v>95</v>
      </c>
      <c r="BX52">
        <v>0.68693681078481594</v>
      </c>
      <c r="BY52">
        <v>0.1447080527482428</v>
      </c>
      <c r="BZ52">
        <v>0.71216388384879337</v>
      </c>
      <c r="CA52">
        <v>0</v>
      </c>
      <c r="CB52" s="1">
        <v>14.34582590143129</v>
      </c>
      <c r="CD52" s="1"/>
      <c r="CE52" s="1"/>
      <c r="CF52" s="1"/>
      <c r="CH52">
        <v>2.7183762166482373</v>
      </c>
      <c r="CI52">
        <v>0.2147695160927712</v>
      </c>
      <c r="CJ52">
        <v>2.6924835293219749</v>
      </c>
      <c r="CK52">
        <v>2.5632761791039202</v>
      </c>
      <c r="CM52">
        <v>0.70201324954832756</v>
      </c>
      <c r="CN52">
        <v>2.8364736792530993E-17</v>
      </c>
      <c r="CO52">
        <v>0.71216388384879337</v>
      </c>
      <c r="CP52">
        <v>0</v>
      </c>
      <c r="CR52" s="5">
        <v>-3.5722485214336519E-2</v>
      </c>
      <c r="CS52" s="5">
        <v>-0.35018974737001934</v>
      </c>
      <c r="CT52" s="5">
        <v>3.8159210946819453</v>
      </c>
      <c r="CU52" s="5">
        <v>2.5632761791039202</v>
      </c>
    </row>
    <row r="53" spans="1:108">
      <c r="A53">
        <v>12</v>
      </c>
      <c r="B53">
        <f t="shared" si="11"/>
        <v>0.35</v>
      </c>
      <c r="C53">
        <v>4</v>
      </c>
      <c r="D53">
        <v>21094681.504000001</v>
      </c>
      <c r="E53">
        <v>110853300.00249</v>
      </c>
      <c r="F53">
        <v>-734.59799999999996</v>
      </c>
      <c r="G53">
        <v>21094681.063999999</v>
      </c>
      <c r="H53">
        <v>86379191.772479996</v>
      </c>
      <c r="J53" s="5">
        <f>'sv04'!$AA$3+'sv04'!$Z$3*($B53)+'sv04'!$Y$3*($B53)^2+'sv04'!$X$3*($B53)^3+'sv04'!$W$3*($B53)^4+'sv04'!$V$3*($B53)^5+'sv04'!$U$3*($B53)^6+'sv04'!$T$3*($B53)^7+'sv04'!$S$3*($B53)^8</f>
        <v>21176.650440451271</v>
      </c>
      <c r="K53" s="5">
        <f>'sv04'!$AA$4+'sv04'!$Z$4*($B53)+'sv04'!$Y$4*($B53)^2+'sv04'!$X$4*($B53)^3+'sv04'!$W$4*($B53)^4+'sv04'!$V$4*($B53)^5+'sv04'!$U$4*($B53)^6+'sv04'!$T$4*($B53)^7+'sv04'!$S$4*($B53)^8</f>
        <v>-7231.1585542109724</v>
      </c>
      <c r="L53" s="5">
        <f>'sv04'!$AA$5+'sv04'!$Z$5*($B53)+'sv04'!$Y$5*($B53)^2+'sv04'!$X$5*($B53)^3+'sv04'!$W$5*($B53)^4+'sv04'!$V$5*($B53)^5+'sv04'!$U$5*($B53)^6+'sv04'!$T$5*($B53)^7+'sv04'!$S$5*($B53)^8</f>
        <v>14405.748690733248</v>
      </c>
      <c r="M53" s="5">
        <f>'sv04'!$AA$6+'sv04'!$Z$6*$B53+'sv04'!$Y$6*$B53^2+'sv04'!$X$6*$B53^3+'sv04'!$W$6*$B53^4+'sv04'!$V$6*$B53^5+'sv04'!$U$6*$B53^6+'sv04'!$T$6*$B53^7+'sv04'!$S$6*$B53^8</f>
        <v>86.597835787835308</v>
      </c>
      <c r="O53">
        <f>SQRT(($J53*1000-coord!$B$2)^2+($K53*1000-coord!$C$2)^2+($L53*1000-coord!$D$2)^2)/coord!$B$6</f>
        <v>7.0450867236698744E-2</v>
      </c>
      <c r="Q53" s="5">
        <f>'sv04'!$AA$3+'sv04'!$Z$3*($B53-$O53/3600)+'sv04'!$Y$3*($B53-$O53/3600)^2+'sv04'!$X$3*($B53-$O53/3600)^3+'sv04'!$W$3*($B53-$O53/3600)^4+'sv04'!$V$3*($B53-$O53/3600)^5+'sv04'!$U$3*($B53-$O53/3600)^6+'sv04'!$T$3*($B53-$O53/3600)^7+'sv04'!$S$3*($B53-$O53/3600)^8+K53*coord!$B$7*O53</f>
        <v>21176.487373151631</v>
      </c>
      <c r="R53" s="5">
        <f>'sv04'!$AA$4+'sv04'!$Z$4*($B53-$O53/3600)+'sv04'!$Y$4*($B53-$O53/3600)^2+'sv04'!$X$4*($B53-$O53/3600)^3+'sv04'!$W$4*($B53-$O53/3600)^4+'sv04'!$V$4*($B53-$O53/3600)^5+'sv04'!$U$4*($B53-$O53/3600)^6+'sv04'!$T$4*($B53-$O53/3600)^7+'sv04'!$S$4*($B53-$O53/3600)^8-J53*coord!$B$7*O53</f>
        <v>-7231.304980705615</v>
      </c>
      <c r="S53" s="5">
        <f>'sv04'!$AA$5+'sv04'!$Z$5*($B53-$O53/3600)+'sv04'!$Y$5*($B53-$O53/3600)^2+'sv04'!$X$5*($B53-$O53/3600)^3+'sv04'!$W$5*($B53-$O53/3600)^4+'sv04'!$V$5*($B53-$O53/3600)^5+'sv04'!$U$5*($B53-$O53/3600)^6+'sv04'!$T$5*($B53-$O53/3600)^7+'sv04'!$S$5*($B53-$O53/3600)^8</f>
        <v>14405.9104317362</v>
      </c>
      <c r="T53">
        <f>coord!$B$6*M53/10^6</f>
        <v>25961.378048315513</v>
      </c>
      <c r="U53">
        <f>SQRT(($Q53*1000+coord!$B$7*$O53*$R53*1000-coord!$B$2)^2+($R53*1000-coord!$B$7*$O53*$Q53*1000-coord!$C$2)^2+($S53*1000-coord!$D$2)^2)</f>
        <v>21120653.777414829</v>
      </c>
      <c r="V53" s="3">
        <f>$D53-(U53-$T53)-coord!$E$2</f>
        <v>-10.895366512238979</v>
      </c>
      <c r="W53" s="3"/>
      <c r="Y53">
        <f>-(Q53*1000-coord!$B$2)/$U53</f>
        <v>-0.79484325529275524</v>
      </c>
      <c r="Z53">
        <f>-(R53*1000-coord!$C$2)/$U53</f>
        <v>0.38615637943116249</v>
      </c>
      <c r="AA53">
        <f>-(S53*1000-coord!$D$2)/$U53</f>
        <v>-0.46808788504492432</v>
      </c>
      <c r="AB53">
        <v>1</v>
      </c>
      <c r="AD53">
        <v>1</v>
      </c>
      <c r="AE53">
        <v>1</v>
      </c>
      <c r="AF53">
        <v>1</v>
      </c>
      <c r="AG53">
        <v>1</v>
      </c>
      <c r="AH53">
        <v>1</v>
      </c>
      <c r="AI53">
        <v>1</v>
      </c>
      <c r="AJ53">
        <v>1</v>
      </c>
      <c r="AL53">
        <v>-3.176293111523683</v>
      </c>
      <c r="AM53">
        <v>8.7849469519294121E-3</v>
      </c>
      <c r="AN53">
        <v>-3.4579451423452796</v>
      </c>
      <c r="AO53">
        <v>7</v>
      </c>
      <c r="AQ53">
        <v>1.8363947971226464</v>
      </c>
      <c r="AR53">
        <v>0.1018919314166073</v>
      </c>
      <c r="AS53">
        <v>1.8072306670270155</v>
      </c>
      <c r="AT53">
        <v>1.8687625050099654</v>
      </c>
      <c r="AV53">
        <v>-33.398497499525547</v>
      </c>
      <c r="AX53">
        <v>7.0747187823457693</v>
      </c>
      <c r="BA53">
        <f>SQRT(($Q53*1000+coord!$B$7*$O53*$R53*1000-coord!$B$2-AX$50)^2+($R53*1000-coord!$B$7*$O53*$Q53*1000-coord!$C$2-AX$51)^2+($S53*1000-coord!$D$2-AX$52)^2)</f>
        <v>21120631.608795751</v>
      </c>
      <c r="BB53" s="3">
        <f t="shared" si="12"/>
        <v>4.1985337830679441</v>
      </c>
      <c r="BD53" s="1"/>
      <c r="BE53" s="1"/>
      <c r="BF53" s="1"/>
      <c r="BX53">
        <v>0</v>
      </c>
      <c r="BY53">
        <v>0</v>
      </c>
      <c r="BZ53">
        <v>0</v>
      </c>
      <c r="CA53">
        <v>1</v>
      </c>
      <c r="CD53" s="1"/>
      <c r="CE53" s="1"/>
      <c r="CF53" s="1"/>
      <c r="CH53">
        <v>1.8363947971226464</v>
      </c>
      <c r="CI53">
        <v>0.1018919314166073</v>
      </c>
      <c r="CJ53">
        <v>1.8072306670270155</v>
      </c>
      <c r="CK53">
        <v>1.8687625050099654</v>
      </c>
      <c r="CM53">
        <v>0</v>
      </c>
      <c r="CN53">
        <v>0</v>
      </c>
      <c r="CO53">
        <v>0</v>
      </c>
      <c r="CP53">
        <v>1</v>
      </c>
      <c r="CR53" s="5">
        <v>-2.598533869903985E-2</v>
      </c>
      <c r="CS53" s="5">
        <v>-0.27883775253891052</v>
      </c>
      <c r="CT53" s="5">
        <v>2.5632761791039194</v>
      </c>
      <c r="CU53" s="5">
        <v>1.8687625050099654</v>
      </c>
    </row>
    <row r="54" spans="1:108">
      <c r="A54">
        <v>12</v>
      </c>
      <c r="B54">
        <f t="shared" si="11"/>
        <v>0.35</v>
      </c>
      <c r="C54">
        <v>20</v>
      </c>
      <c r="D54">
        <v>22836101.449999999</v>
      </c>
      <c r="E54">
        <v>120004522.17848</v>
      </c>
      <c r="F54">
        <v>-2976.473</v>
      </c>
      <c r="G54">
        <v>22836100.859000001</v>
      </c>
      <c r="H54">
        <v>93510012.068460003</v>
      </c>
      <c r="J54" s="5">
        <f>'sv20'!$AA$3+'sv20'!$Z$3*($B54)+'sv20'!$Y$3*($B54)^2+'sv20'!$X$3*($B54)^3+'sv20'!$W$3*($B54)^4+'sv20'!$V$3*($B54)^5+'sv20'!$U$3*($B54)^6+'sv20'!$T$3*($B54)^7+'sv20'!$S$3*($B54)^8</f>
        <v>14182.658888886457</v>
      </c>
      <c r="K54" s="5">
        <f>'sv20'!$AA$4+'sv20'!$Z$4*($B54)+'sv20'!$Y$4*($B54)^2+'sv20'!$X$4*($B54)^3+'sv20'!$W$4*($B54)^4+'sv20'!$V$4*($B54)^5+'sv20'!$U$4*($B54)^6+'sv20'!$T$4*($B54)^7+'sv20'!$S$4*($B54)^8</f>
        <v>21473.412841515703</v>
      </c>
      <c r="L54" s="5">
        <f>'sv20'!$AA$5+'sv20'!$Z$5*($B54)+'sv20'!$Y$5*($B54)^2+'sv20'!$X$5*($B54)^3+'sv20'!$W$5*($B54)^4+'sv20'!$V$5*($B54)^5+'sv20'!$U$5*($B54)^6+'sv20'!$T$5*($B54)^7+'sv20'!$S$5*($B54)^8</f>
        <v>6539.8974272198502</v>
      </c>
      <c r="M54" s="5">
        <f>'sv20'!$AA$6+'sv20'!$Z$6*$B54+'sv20'!$Y$6*$B54^2+'sv20'!$X$6*$B54^3+'sv20'!$W$6*$B54^4+'sv20'!$V$6*$B54^5+'sv20'!$U$6*$B54^6+'sv20'!$T$6*$B54^7+'sv20'!$S$6*$B54^8</f>
        <v>55.817990448924817</v>
      </c>
      <c r="O54">
        <f>SQRT(($J54*1000-coord!$B$2)^2+($K54*1000-coord!$C$2)^2+($L54*1000-coord!$D$2)^2)/coord!$B$6</f>
        <v>7.6229046106606149E-2</v>
      </c>
      <c r="Q54" s="5">
        <f>'sv20'!$AA$3+'sv20'!$Z$3*($B54-$O54/3600)+'sv20'!$Y$3*($B54-$O54/3600)^2+'sv20'!$X$3*($B54-$O54/3600)^3+'sv20'!$W$3*($B54-$O54/3600)^4+'sv20'!$V$3*($B54-$O54/3600)^5+'sv20'!$U$3*($B54-$O54/3600)^6+'sv20'!$T$3*($B54-$O54/3600)^7+'sv20'!$S$3*($B54-$O54/3600)^8+K54*coord!$B$7*O54</f>
        <v>14182.776945342359</v>
      </c>
      <c r="R54" s="5">
        <f>'sv20'!$AA$4+'sv20'!$Z$4*($B54-$O54/3600)+'sv20'!$Y$4*($B54-$O54/3600)^2+'sv20'!$X$4*($B54-$O54/3600)^3+'sv20'!$W$4*($B54-$O54/3600)^4+'sv20'!$V$4*($B54-$O54/3600)^5+'sv20'!$U$4*($B54-$O54/3600)^6+'sv20'!$T$4*($B54-$O54/3600)^7+'sv20'!$S$4*($B54-$O54/3600)^8-J54*coord!$B$7*O54</f>
        <v>21473.264348004552</v>
      </c>
      <c r="S54" s="5">
        <f>'sv20'!$AA$5+'sv20'!$Z$5*($B54-$O54/3600)+'sv20'!$Y$5*($B54-$O54/3600)^2+'sv20'!$X$5*($B54-$O54/3600)^3+'sv20'!$W$5*($B54-$O54/3600)^4+'sv20'!$V$5*($B54-$O54/3600)^5+'sv20'!$U$5*($B54-$O54/3600)^6+'sv20'!$T$5*($B54-$O54/3600)^7+'sv20'!$S$5*($B54-$O54/3600)^8</f>
        <v>6540.1238630982316</v>
      </c>
      <c r="T54">
        <f>coord!$B$6*M54/10^6</f>
        <v>16733.812557303692</v>
      </c>
      <c r="U54">
        <f>SQRT(($Q54*1000+coord!$B$7*$O54*$R54*1000-coord!$B$2)^2+($R54*1000-coord!$B$7*$O54*$Q54*1000-coord!$C$2)^2+($S54*1000-coord!$D$2)^2)</f>
        <v>22852810.461193312</v>
      </c>
      <c r="V54" s="3">
        <f>$D54-(U54-$T54)-coord!$E$2</f>
        <v>24.801363989710808</v>
      </c>
      <c r="W54" s="3"/>
      <c r="Y54">
        <f>-(Q54*1000-coord!$B$2)/$U54</f>
        <v>-0.42856430245958232</v>
      </c>
      <c r="Z54">
        <f>-(R54*1000-coord!$C$2)/$U54</f>
        <v>-0.8991758002674809</v>
      </c>
      <c r="AA54">
        <f>-(S54*1000-coord!$D$2)/$U54</f>
        <v>-8.841519043048697E-2</v>
      </c>
      <c r="AB54">
        <v>1</v>
      </c>
      <c r="BA54">
        <f>SQRT(($Q54*1000+coord!$B$7*$O54*$R54*1000-coord!$B$2-AX$50)^2+($R54*1000-coord!$B$7*$O54*$Q54*1000-coord!$C$2-AX$51)^2+($S54*1000-coord!$D$2-AX$52)^2)</f>
        <v>22852823.89028468</v>
      </c>
      <c r="BB54" s="3">
        <f t="shared" si="12"/>
        <v>4.2975538394944692</v>
      </c>
      <c r="BD54" s="1"/>
      <c r="BE54" s="1"/>
      <c r="BF54" s="1"/>
      <c r="CD54" s="1"/>
      <c r="CE54" s="1"/>
      <c r="CF54" s="1"/>
    </row>
    <row r="55" spans="1:108">
      <c r="A55">
        <v>12</v>
      </c>
      <c r="B55">
        <f t="shared" si="11"/>
        <v>0.35</v>
      </c>
      <c r="C55">
        <v>13</v>
      </c>
      <c r="D55">
        <v>20094328.565000001</v>
      </c>
      <c r="E55">
        <v>105596408.17049</v>
      </c>
      <c r="F55">
        <v>-525.98400000000004</v>
      </c>
      <c r="G55">
        <v>20094326.633000001</v>
      </c>
      <c r="H55">
        <v>82282907.540480003</v>
      </c>
      <c r="J55" s="5">
        <f>'sv13'!$AA$3+'sv13'!$Z$3*($B55)+'sv13'!$Y$3*($B55)^2+'sv13'!$X$3*($B55)^3+'sv13'!$W$3*($B55)^4+'sv13'!$V$3*($B55)^5+'sv13'!$U$3*($B55)^6+'sv13'!$T$3*($B55)^7+'sv13'!$S$3*($B55)^8</f>
        <v>15041.862689074913</v>
      </c>
      <c r="K55" s="5">
        <f>'sv13'!$AA$4+'sv13'!$Z$4*($B55)+'sv13'!$Y$4*($B55)^2+'sv13'!$X$4*($B55)^3+'sv13'!$W$4*($B55)^4+'sv13'!$V$4*($B55)^5+'sv13'!$U$4*($B55)^6+'sv13'!$T$4*($B55)^7+'sv13'!$S$4*($B55)^8</f>
        <v>4288.3155342861382</v>
      </c>
      <c r="L55" s="5">
        <f>'sv13'!$AA$5+'sv13'!$Z$5*($B55)+'sv13'!$Y$5*($B55)^2+'sv13'!$X$5*($B55)^3+'sv13'!$W$5*($B55)^4+'sv13'!$V$5*($B55)^5+'sv13'!$U$5*($B55)^6+'sv13'!$T$5*($B55)^7+'sv13'!$S$5*($B55)^8</f>
        <v>21331.946943453793</v>
      </c>
      <c r="M55" s="5">
        <f>'sv13'!$AA$6+'sv13'!$Z$6*$B55+'sv13'!$Y$6*$B55^2+'sv13'!$X$6*$B55^3+'sv13'!$W$6*$B55^4+'sv13'!$V$6*$B55^5+'sv13'!$U$6*$B55^6+'sv13'!$T$6*$B55^7+'sv13'!$S$6*$B55^8</f>
        <v>304.21958087104161</v>
      </c>
      <c r="O55">
        <f>SQRT(($J55*1000-coord!$B$2)^2+($K55*1000-coord!$C$2)^2+($L55*1000-coord!$D$2)^2)/coord!$B$6</f>
        <v>6.7331733746307618E-2</v>
      </c>
      <c r="Q55" s="5">
        <f>'sv13'!$AA$3+'sv13'!$Z$3*($B55-$O55/3600)+'sv13'!$Y$3*($B55-$O55/3600)^2+'sv13'!$X$3*($B55-$O55/3600)^3+'sv13'!$W$3*($B55-$O55/3600)^4+'sv13'!$V$3*($B55-$O55/3600)^5+'sv13'!$U$3*($B55-$O55/3600)^6+'sv13'!$T$3*($B55-$O55/3600)^7+'sv13'!$S$3*($B55-$O55/3600)^8+K55*coord!$B$7*O55</f>
        <v>15042.0069432816</v>
      </c>
      <c r="R55" s="5">
        <f>'sv13'!$AA$4+'sv13'!$Z$4*($B55-$O55/3600)+'sv13'!$Y$4*($B55-$O55/3600)^2+'sv13'!$X$4*($B55-$O55/3600)^3+'sv13'!$W$4*($B55-$O55/3600)^4+'sv13'!$V$4*($B55-$O55/3600)^5+'sv13'!$U$4*($B55-$O55/3600)^6+'sv13'!$T$4*($B55-$O55/3600)^7+'sv13'!$S$4*($B55-$O55/3600)^8-J55*coord!$B$7*O55</f>
        <v>4288.1049986047601</v>
      </c>
      <c r="S55" s="5">
        <f>'sv13'!$AA$5+'sv13'!$Z$5*($B55-$O55/3600)+'sv13'!$Y$5*($B55-$O55/3600)^2+'sv13'!$X$5*($B55-$O55/3600)^3+'sv13'!$W$5*($B55-$O55/3600)^4+'sv13'!$V$5*($B55-$O55/3600)^5+'sv13'!$U$5*($B55-$O55/3600)^6+'sv13'!$T$5*($B55-$O55/3600)^7+'sv13'!$S$5*($B55-$O55/3600)^8</f>
        <v>21331.888138300914</v>
      </c>
      <c r="T55">
        <f>coord!$B$6*M55/10^6</f>
        <v>91202.735921059342</v>
      </c>
      <c r="U55">
        <f>SQRT(($Q55*1000+coord!$B$7*$O55*$R55*1000-coord!$B$2)^2+($R55*1000-coord!$B$7*$O55*$Q55*1000-coord!$C$2)^2+($S55*1000-coord!$D$2)^2)</f>
        <v>20185536.836509205</v>
      </c>
      <c r="V55" s="3">
        <f>$D55-(U55-$T55)-coord!$E$2</f>
        <v>-5.5355881452560425</v>
      </c>
      <c r="W55" s="3"/>
      <c r="Y55">
        <f>-(Q55*1000-coord!$B$2)/$U55</f>
        <v>-0.52776048805466913</v>
      </c>
      <c r="Z55">
        <f>-(R55*1000-coord!$C$2)/$U55</f>
        <v>-0.16663093048490032</v>
      </c>
      <c r="AA55">
        <f>-(S55*1000-coord!$D$2)/$U55</f>
        <v>-0.83288841907800149</v>
      </c>
      <c r="AB55">
        <v>1</v>
      </c>
      <c r="BA55">
        <f>SQRT(($Q55*1000+coord!$B$7*$O55*$R55*1000-coord!$B$2-AX$50)^2+($R55*1000-coord!$B$7*$O55*$Q55*1000-coord!$C$2-AX$51)^2+($S55*1000-coord!$D$2-AX$52)^2)</f>
        <v>20185522.30672894</v>
      </c>
      <c r="BB55" s="3">
        <f t="shared" si="12"/>
        <v>1.9194733373420263</v>
      </c>
      <c r="BD55" s="1"/>
      <c r="BE55" s="1"/>
      <c r="BF55" s="1"/>
      <c r="CD55" s="1"/>
      <c r="CE55" s="1"/>
      <c r="CF55" s="1"/>
    </row>
    <row r="56" spans="1:108">
      <c r="A56">
        <v>12</v>
      </c>
      <c r="B56">
        <f t="shared" si="11"/>
        <v>0.35</v>
      </c>
      <c r="C56">
        <v>7</v>
      </c>
      <c r="D56">
        <v>22030415.506999999</v>
      </c>
      <c r="E56">
        <v>115770616.12949</v>
      </c>
      <c r="F56">
        <v>3011.9569999999999</v>
      </c>
      <c r="G56">
        <v>22030414.234999999</v>
      </c>
      <c r="H56">
        <v>90210869.962469995</v>
      </c>
      <c r="J56" s="5">
        <f>'sv07'!$AA$3+'sv07'!$Z$3*($B56)+'sv07'!$Y$3*($B56)^2+'sv07'!$X$3*($B56)^3+'sv07'!$W$3*($B56)^4+'sv07'!$V$3*($B56)^5+'sv07'!$U$3*($B56)^6+'sv07'!$T$3*($B56)^7+'sv07'!$S$3*($B56)^8</f>
        <v>25689.300909864545</v>
      </c>
      <c r="K56" s="5">
        <f>'sv07'!$AA$4+'sv07'!$Z$4*($B56)+'sv07'!$Y$4*($B56)^2+'sv07'!$X$4*($B56)^3+'sv07'!$W$4*($B56)^4+'sv07'!$V$4*($B56)^5+'sv07'!$U$4*($B56)^6+'sv07'!$T$4*($B56)^7+'sv07'!$S$4*($B56)^8</f>
        <v>6371.239198241743</v>
      </c>
      <c r="L56" s="5">
        <f>'sv07'!$AA$5+'sv07'!$Z$5*($B56)+'sv07'!$Y$5*($B56)^2+'sv07'!$X$5*($B56)^3+'sv07'!$W$5*($B56)^4+'sv07'!$V$5*($B56)^5+'sv07'!$U$5*($B56)^6+'sv07'!$T$5*($B56)^7+'sv07'!$S$5*($B56)^8</f>
        <v>3121.4341820564591</v>
      </c>
      <c r="M56" s="5">
        <f>'sv07'!$AA$6+'sv07'!$Z$6*$B56+'sv07'!$Y$6*$B56^2+'sv07'!$X$6*$B56^3+'sv07'!$W$6*$B56^4+'sv07'!$V$6*$B56^5+'sv07'!$U$6*$B56^6+'sv07'!$T$6*$B56^7+'sv07'!$S$6*$B56^8</f>
        <v>-0.63766180439237508</v>
      </c>
      <c r="O56">
        <f>SQRT(($J56*1000-coord!$B$2)^2+($K56*1000-coord!$C$2)^2+($L56*1000-coord!$D$2)^2)/coord!$B$6</f>
        <v>7.3484786934658888E-2</v>
      </c>
      <c r="Q56" s="5">
        <f>'sv07'!$AA$3+'sv07'!$Z$3*($B56-$O56/3600)+'sv07'!$Y$3*($B56-$O56/3600)^2+'sv07'!$X$3*($B56-$O56/3600)^3+'sv07'!$W$3*($B56-$O56/3600)^4+'sv07'!$V$3*($B56-$O56/3600)^5+'sv07'!$U$3*($B56-$O56/3600)^6+'sv07'!$T$3*($B56-$O56/3600)^7+'sv07'!$S$3*($B56-$O56/3600)^8+K56*coord!$B$7*O56</f>
        <v>25689.366470837984</v>
      </c>
      <c r="R56" s="5">
        <f>'sv07'!$AA$4+'sv07'!$Z$4*($B56-$O56/3600)+'sv07'!$Y$4*($B56-$O56/3600)^2+'sv07'!$X$4*($B56-$O56/3600)^3+'sv07'!$W$4*($B56-$O56/3600)^4+'sv07'!$V$4*($B56-$O56/3600)^5+'sv07'!$U$4*($B56-$O56/3600)^6+'sv07'!$T$4*($B56-$O56/3600)^7+'sv07'!$S$4*($B56-$O56/3600)^8-J56*coord!$B$7*O56</f>
        <v>6371.0894927335075</v>
      </c>
      <c r="S56" s="5">
        <f>'sv07'!$AA$5+'sv07'!$Z$5*($B56-$O56/3600)+'sv07'!$Y$5*($B56-$O56/3600)^2+'sv07'!$X$5*($B56-$O56/3600)^3+'sv07'!$W$5*($B56-$O56/3600)^4+'sv07'!$V$5*($B56-$O56/3600)^5+'sv07'!$U$5*($B56-$O56/3600)^6+'sv07'!$T$5*($B56-$O56/3600)^7+'sv07'!$S$5*($B56-$O56/3600)^8</f>
        <v>3121.2022671498776</v>
      </c>
      <c r="T56">
        <f>coord!$B$6*M56/10^6</f>
        <v>-191.16619971150533</v>
      </c>
      <c r="U56">
        <f>SQRT(($Q56*1000+coord!$B$7*$O56*$R56*1000-coord!$B$2)^2+($R56*1000-coord!$B$7*$O56*$Q56*1000-coord!$C$2)^2+($S56*1000-coord!$D$2)^2)</f>
        <v>22030224.973993614</v>
      </c>
      <c r="V56" s="3">
        <f>$D56-(U56-$T56)-coord!$E$2</f>
        <v>-0.63319332525134087</v>
      </c>
      <c r="W56" s="3" t="s">
        <v>127</v>
      </c>
      <c r="X56" s="1" t="s">
        <v>128</v>
      </c>
      <c r="Y56">
        <f>-(Q56*1000-coord!$B$2)/$U56</f>
        <v>-0.96687565947160892</v>
      </c>
      <c r="Z56">
        <f>-(R56*1000-coord!$C$2)/$U56</f>
        <v>-0.24722939897177856</v>
      </c>
      <c r="AA56">
        <f>-(S56*1000-coord!$D$2)/$U56</f>
        <v>6.3475793315814877E-2</v>
      </c>
      <c r="AB56">
        <v>1</v>
      </c>
      <c r="BA56">
        <f>SQRT(($Q56*1000+coord!$B$7*$O56*$R56*1000-coord!$B$2-AX$50)^2+($R56*1000-coord!$B$7*$O56*$Q56*1000-coord!$C$2-AX$51)^2+($S56*1000-coord!$D$2-AX$52)^2)</f>
        <v>22030223.003897082</v>
      </c>
      <c r="BB56" s="3">
        <f t="shared" si="12"/>
        <v>-5.7378155753416991</v>
      </c>
      <c r="BC56" s="3" t="s">
        <v>127</v>
      </c>
      <c r="BD56" s="1" t="s">
        <v>128</v>
      </c>
      <c r="BE56" s="1"/>
      <c r="BF56" s="1"/>
      <c r="CD56" s="1"/>
      <c r="CE56" s="1"/>
      <c r="CF56" s="1"/>
    </row>
    <row r="57" spans="1:108">
      <c r="V57" s="3"/>
      <c r="W57" s="3">
        <f>AVERAGE($V50:$V56)</f>
        <v>-4.7712139285036494</v>
      </c>
      <c r="X57" s="1">
        <f>SQRT(DEVSQ($V50:$V56)/6)</f>
        <v>15.847818753980718</v>
      </c>
      <c r="BB57" s="3"/>
      <c r="BC57" s="3">
        <f>AVERAGE($BB50:$BB56)</f>
        <v>6.2548222680496626E-5</v>
      </c>
      <c r="BD57" s="1">
        <f>SQRT(DEVSQ($BB50:$BB56)/6)</f>
        <v>4.9679787459635589</v>
      </c>
      <c r="BE57" s="1"/>
      <c r="BF57" s="1"/>
      <c r="CD57" s="1"/>
      <c r="CE57" s="1"/>
      <c r="CF57" s="1"/>
    </row>
    <row r="58" spans="1:108">
      <c r="A58">
        <v>14</v>
      </c>
      <c r="B58">
        <f t="shared" ref="B58:B64" si="13">(60-45)/60+30*A58/3600</f>
        <v>0.3666666666666667</v>
      </c>
      <c r="C58">
        <v>2</v>
      </c>
      <c r="D58">
        <v>22732095.671999998</v>
      </c>
      <c r="E58">
        <v>119457974.18548</v>
      </c>
      <c r="F58">
        <v>2406.1329999999998</v>
      </c>
      <c r="G58">
        <v>22732093.331999999</v>
      </c>
      <c r="H58">
        <v>93084125.008469999</v>
      </c>
      <c r="J58" s="5">
        <f>'sv02'!$AA$3+'sv02'!$Z$3*($B58)+'sv02'!$Y$3*($B58)^2+'sv02'!$X$3*($B58)^3+'sv02'!$W$3*($B58)^4+'sv02'!$V$3*($B58)^5+'sv02'!$U$3*($B58)^6+'sv02'!$T$3*($B58)^7+'sv02'!$S$3*($B58)^8</f>
        <v>6695.0528534361965</v>
      </c>
      <c r="K58" s="5">
        <f>'sv02'!$AA$4+'sv02'!$Z$4*($B58)+'sv02'!$Y$4*($B58)^2+'sv02'!$X$4*($B58)^3+'sv02'!$W$4*($B58)^4+'sv02'!$V$4*($B58)^5+'sv02'!$U$4*($B58)^6+'sv02'!$T$4*($B58)^7+'sv02'!$S$4*($B58)^8</f>
        <v>-14600.566026853481</v>
      </c>
      <c r="L58" s="5">
        <f>'sv02'!$AA$5+'sv02'!$Z$5*($B58)+'sv02'!$Y$5*($B58)^2+'sv02'!$X$5*($B58)^3+'sv02'!$W$5*($B58)^4+'sv02'!$V$5*($B58)^5+'sv02'!$U$5*($B58)^6+'sv02'!$T$5*($B58)^7+'sv02'!$S$5*($B58)^8</f>
        <v>21069.959526649294</v>
      </c>
      <c r="M58" s="5">
        <f>'sv02'!$AA$6+'sv02'!$Z$6*$B58+'sv02'!$Y$6*$B58^2+'sv02'!$X$6*$B58^3+'sv02'!$W$6*$B58^4+'sv02'!$V$6*$B58^5+'sv02'!$U$6*$B58^6+'sv02'!$T$6*$B58^7+'sv02'!$S$6*$B58^8</f>
        <v>257.59115397673827</v>
      </c>
      <c r="O58">
        <f>SQRT(($J58*1000-coord!$B$2)^2+($K58*1000-coord!$C$2)^2+($L58*1000-coord!$D$2)^2)/coord!$B$6</f>
        <v>7.6083556125958449E-2</v>
      </c>
      <c r="Q58" s="5">
        <f>'sv02'!$AA$3+'sv02'!$Z$3*($B58-$O58/3600)+'sv02'!$Y$3*($B58-$O58/3600)^2+'sv02'!$X$3*($B58-$O58/3600)^3+'sv02'!$W$3*($B58-$O58/3600)^4+'sv02'!$V$3*($B58-$O58/3600)^5+'sv02'!$U$3*($B58-$O58/3600)^6+'sv02'!$T$3*($B58-$O58/3600)^7+'sv02'!$S$3*($B58-$O58/3600)^8+K58*coord!$B$7*O58</f>
        <v>6694.7696008854045</v>
      </c>
      <c r="R58" s="5">
        <f>'sv02'!$AA$4+'sv02'!$Z$4*($B58-$O58/3600)+'sv02'!$Y$4*($B58-$O58/3600)^2+'sv02'!$X$4*($B58-$O58/3600)^3+'sv02'!$W$4*($B58-$O58/3600)^4+'sv02'!$V$4*($B58-$O58/3600)^5+'sv02'!$U$4*($B58-$O58/3600)^6+'sv02'!$T$4*($B58-$O58/3600)^7+'sv02'!$S$4*($B58-$O58/3600)^8-J58*coord!$B$7*O58</f>
        <v>-14600.637875782015</v>
      </c>
      <c r="S58" s="5">
        <f>'sv02'!$AA$5+'sv02'!$Z$5*($B58-$O58/3600)+'sv02'!$Y$5*($B58-$O58/3600)^2+'sv02'!$X$5*($B58-$O58/3600)^3+'sv02'!$W$5*($B58-$O58/3600)^4+'sv02'!$V$5*($B58-$O58/3600)^5+'sv02'!$U$5*($B58-$O58/3600)^6+'sv02'!$T$5*($B58-$O58/3600)^7+'sv02'!$S$5*($B58-$O58/3600)^8</f>
        <v>21070.003169617728</v>
      </c>
      <c r="T58">
        <f>coord!$B$6*M58/10^6</f>
        <v>77223.885209742846</v>
      </c>
      <c r="U58">
        <f>SQRT(($Q58*1000+coord!$B$7*$O58*$R58*1000-coord!$B$2)^2+($R58*1000-coord!$B$7*$O58*$Q58*1000-coord!$C$2)^2+($S58*1000-coord!$D$2)^2)</f>
        <v>22809345.331266236</v>
      </c>
      <c r="V58" s="3">
        <f>$D58-(U58-$T58)-coord!$E$2</f>
        <v>-25.774056494235992</v>
      </c>
      <c r="W58" s="3"/>
      <c r="Y58">
        <f>-(Q58*1000-coord!$B$2)/$U58</f>
        <v>-0.1010941522694459</v>
      </c>
      <c r="Z58">
        <f>-(R58*1000-coord!$C$2)/$U58</f>
        <v>0.68065119202262303</v>
      </c>
      <c r="AA58">
        <f>-(S58*1000-coord!$D$2)/$U58</f>
        <v>-0.72559797990479846</v>
      </c>
      <c r="AB58">
        <v>1</v>
      </c>
      <c r="AD58">
        <f t="array" ref="AD58:AJ61">TRANSPOSE(Y58:AB64)</f>
        <v>-0.1010941522694459</v>
      </c>
      <c r="AE58">
        <v>-0.22209279383021535</v>
      </c>
      <c r="AF58">
        <v>-0.13960340272638294</v>
      </c>
      <c r="AG58">
        <v>-0.7995729732323531</v>
      </c>
      <c r="AH58">
        <v>-0.42796403067731514</v>
      </c>
      <c r="AI58">
        <v>-0.52216732475545824</v>
      </c>
      <c r="AJ58">
        <v>-0.96718413500597</v>
      </c>
      <c r="AL58">
        <f t="array" ref="AL58:AO61">MMULT(AD58:AJ61,Y58:AB64)</f>
        <v>2.1096083638738907</v>
      </c>
      <c r="AM58">
        <v>0.34973040553861379</v>
      </c>
      <c r="AN58">
        <v>1.1230986132882035</v>
      </c>
      <c r="AO58">
        <v>-3.1796788124971407</v>
      </c>
      <c r="AQ58">
        <f t="array" ref="AQ58:AT61">MINVERSE(AL58:AO61)</f>
        <v>2.5041473183553009</v>
      </c>
      <c r="AR58">
        <v>-5.3550913583369587E-2</v>
      </c>
      <c r="AS58">
        <v>1.4483953877964271</v>
      </c>
      <c r="AT58">
        <v>1.8526187528202547</v>
      </c>
      <c r="AV58">
        <f t="array" ref="AV58:AV61">MMULT(AD58:AJ61,V58:V64)</f>
        <v>7.4352473427353232</v>
      </c>
      <c r="AX58">
        <f t="array" ref="AX58:AX61">MMULT(AQ58:AT61,AV58:AV61)</f>
        <v>8.3383183379507528</v>
      </c>
      <c r="BA58">
        <f>SQRT(($Q58*1000+coord!$B$7*$O58*$R58*1000-coord!$B$2-AX$58)^2+($R58*1000-coord!$B$7*$O58*$Q58*1000-coord!$C$2-AX$59)^2+($S58*1000-coord!$D$2-AX$60)^2)</f>
        <v>22809319.214948893</v>
      </c>
      <c r="BB58" s="3">
        <f>$D58-(BA58-$T58)-AX$61</f>
        <v>-6.1979946958768153</v>
      </c>
      <c r="BD58" s="1">
        <f>coord!$B$2+$AX58</f>
        <v>4388886.5091183381</v>
      </c>
      <c r="BE58" s="1">
        <f>coord!$C$2+$AX59</f>
        <v>924549.91890169785</v>
      </c>
      <c r="BF58" s="1">
        <f>coord!$D$2+$AX60</f>
        <v>4519604.0681992937</v>
      </c>
      <c r="BG58" s="1">
        <f>coord!$E$2+$AX61</f>
        <v>6.5402555446076178</v>
      </c>
      <c r="BH58" s="8">
        <f>lat($BD58,$BE58,$BF58)</f>
        <v>45.411245559975185</v>
      </c>
      <c r="BI58" s="8">
        <f>lon($BD58,$BE58,$BF58)</f>
        <v>11.895830895399289</v>
      </c>
      <c r="BJ58" s="6">
        <f>h($BD58,$BE58,$BF58)</f>
        <v>76.160133494064212</v>
      </c>
      <c r="BL58">
        <f>grado($BH58)</f>
        <v>45</v>
      </c>
      <c r="BM58">
        <f>MINUTOprimo($BH58)</f>
        <v>24</v>
      </c>
      <c r="BN58">
        <f>MINUTOsecondo($BH58)</f>
        <v>40.484015910667495</v>
      </c>
      <c r="BO58">
        <f>grado($BI58)</f>
        <v>11</v>
      </c>
      <c r="BP58">
        <f>MINUTOprimo($BI58)</f>
        <v>53</v>
      </c>
      <c r="BQ58">
        <f>MINUTOsecondo($BI58)</f>
        <v>44.991223437440624</v>
      </c>
      <c r="BS58">
        <f>-SIN(RADIANS(BH58))*COS(RADIANS(BI58))</f>
        <v>-0.69686940520573681</v>
      </c>
      <c r="BT58">
        <f>-SIN(RADIANS(BI58))</f>
        <v>-0.20613298403380539</v>
      </c>
      <c r="BU58">
        <f>COS(RADIANS(BH58))*COS(RADIANS(BI58))</f>
        <v>0.68693684206156935</v>
      </c>
      <c r="BW58" t="s">
        <v>93</v>
      </c>
      <c r="BX58">
        <f t="array" ref="BX58:BZ60">MINVERSE(BS58:BU60)</f>
        <v>-0.69686940520573681</v>
      </c>
      <c r="BY58">
        <v>-0.14680045855125637</v>
      </c>
      <c r="BZ58">
        <v>0.70201328866150636</v>
      </c>
      <c r="CA58">
        <v>0</v>
      </c>
      <c r="CB58" s="1">
        <f t="array" ref="CB58:CB60">MMULT(BX58:BZ60,AX58:AX60)</f>
        <v>8.2560205401135036</v>
      </c>
      <c r="CD58" s="1">
        <f t="array" ref="CD58:CF58">TRANSPOSE(CB58:CB60)</f>
        <v>8.2560205401135036</v>
      </c>
      <c r="CE58" s="1">
        <v>-21.577260126294789</v>
      </c>
      <c r="CF58" s="1">
        <v>14.038992893519655</v>
      </c>
      <c r="CH58">
        <f t="array" ref="CH58:CK61">MMULT(BX58:CA61,AQ58:AT61)</f>
        <v>-0.72040954415079339</v>
      </c>
      <c r="CI58">
        <v>0.17065647451845334</v>
      </c>
      <c r="CJ58">
        <v>0.61837767778333297</v>
      </c>
      <c r="CK58">
        <v>-2.1615303983300915E-2</v>
      </c>
      <c r="CM58">
        <f t="array" ref="CM58:CP61">TRANSPOSE(BX58:CA61)</f>
        <v>-0.69686940520573681</v>
      </c>
      <c r="CN58">
        <v>-0.20613298403380542</v>
      </c>
      <c r="CO58">
        <v>0.68693684206156935</v>
      </c>
      <c r="CP58">
        <v>0</v>
      </c>
      <c r="CR58" s="5">
        <f t="array" ref="CR58:CU61">MMULT(CH58:CK61,CM58:CP61)</f>
        <v>0.91108826903839257</v>
      </c>
      <c r="CS58" s="5">
        <v>0.31549162289437693</v>
      </c>
      <c r="CT58" s="5">
        <v>-2.9794259236082865E-2</v>
      </c>
      <c r="CU58" s="5">
        <v>-2.1615303983300915E-2</v>
      </c>
      <c r="CW58" s="3">
        <f>SQRT(CR58+CS59)</f>
        <v>1.2241022351127</v>
      </c>
      <c r="CX58" s="3">
        <f>CT60</f>
        <v>3.8647775795974235</v>
      </c>
      <c r="CY58" s="3">
        <f>CU61</f>
        <v>1.8898619215770083</v>
      </c>
      <c r="CZ58" s="3">
        <f>BD65</f>
        <v>4.7425038157886954</v>
      </c>
      <c r="DA58">
        <v>6</v>
      </c>
      <c r="DB58" s="6">
        <f>CY58*DA58*CZ58</f>
        <v>53.776064246356306</v>
      </c>
      <c r="DC58">
        <v>5.33</v>
      </c>
      <c r="DD58" s="6">
        <f>CZ58*DC58*SQRT(0.5*(CR58+CS59)+SQRT((0.5*(CR58-CS59))^2+CS58^2))</f>
        <v>26.557179322007308</v>
      </c>
    </row>
    <row r="59" spans="1:108">
      <c r="A59">
        <v>14</v>
      </c>
      <c r="B59">
        <f t="shared" si="13"/>
        <v>0.3666666666666667</v>
      </c>
      <c r="C59">
        <v>23</v>
      </c>
      <c r="D59">
        <v>20995779.802000001</v>
      </c>
      <c r="E59">
        <v>110333567.11149</v>
      </c>
      <c r="F59">
        <v>-1847.71</v>
      </c>
      <c r="G59">
        <v>20995776.624000002</v>
      </c>
      <c r="H59">
        <v>85974194.687470004</v>
      </c>
      <c r="J59" s="5">
        <f>'sv23'!$AA$3+'sv23'!$Z$3*($B59)+'sv23'!$Y$3*($B59)^2+'sv23'!$X$3*($B59)^3+'sv23'!$W$3*($B59)^4+'sv23'!$V$3*($B59)^5+'sv23'!$U$3*($B59)^6+'sv23'!$T$3*($B59)^7+'sv23'!$S$3*($B59)^8</f>
        <v>9076.3392866882059</v>
      </c>
      <c r="K59" s="5">
        <f>'sv23'!$AA$4+'sv23'!$Z$4*($B59)+'sv23'!$Y$4*($B59)^2+'sv23'!$X$4*($B59)^3+'sv23'!$W$4*($B59)^4+'sv23'!$V$4*($B59)^5+'sv23'!$U$4*($B59)^6+'sv23'!$T$4*($B59)^7+'sv23'!$S$4*($B59)^8</f>
        <v>12394.467377763285</v>
      </c>
      <c r="L59" s="5">
        <f>'sv23'!$AA$5+'sv23'!$Z$5*($B59)+'sv23'!$Y$5*($B59)^2+'sv23'!$X$5*($B59)^3+'sv23'!$W$5*($B59)^4+'sv23'!$V$5*($B59)^5+'sv23'!$U$5*($B59)^6+'sv23'!$T$5*($B59)^7+'sv23'!$S$5*($B59)^8</f>
        <v>21606.565409585455</v>
      </c>
      <c r="M59" s="5">
        <f>'sv23'!$AA$6+'sv23'!$Z$6*$B59+'sv23'!$Y$6*$B59^2+'sv23'!$X$6*$B59^3+'sv23'!$W$6*$B59^4+'sv23'!$V$6*$B59^5+'sv23'!$U$6*$B59^6+'sv23'!$T$6*$B59^7+'sv23'!$S$6*$B59^8</f>
        <v>370.05703211492738</v>
      </c>
      <c r="O59">
        <f>SQRT(($J59*1000-coord!$B$2)^2+($K59*1000-coord!$C$2)^2+($L59*1000-coord!$D$2)^2)/coord!$B$6</f>
        <v>7.0404596930801963E-2</v>
      </c>
      <c r="Q59" s="5">
        <f>'sv23'!$AA$3+'sv23'!$Z$3*($B59-$O59/3600)+'sv23'!$Y$3*($B59-$O59/3600)^2+'sv23'!$X$3*($B59-$O59/3600)^3+'sv23'!$W$3*($B59-$O59/3600)^4+'sv23'!$V$3*($B59-$O59/3600)^5+'sv23'!$U$3*($B59-$O59/3600)^6+'sv23'!$T$3*($B59-$O59/3600)^7+'sv23'!$S$3*($B59-$O59/3600)^8+K59*coord!$B$7*O59</f>
        <v>9076.5285929363399</v>
      </c>
      <c r="R59" s="5">
        <f>'sv23'!$AA$4+'sv23'!$Z$4*($B59-$O59/3600)+'sv23'!$Y$4*($B59-$O59/3600)^2+'sv23'!$X$4*($B59-$O59/3600)^3+'sv23'!$W$4*($B59-$O59/3600)^4+'sv23'!$V$4*($B59-$O59/3600)^5+'sv23'!$U$4*($B59-$O59/3600)^6+'sv23'!$T$4*($B59-$O59/3600)^7+'sv23'!$S$4*($B59-$O59/3600)^8-J59*coord!$B$7*O59</f>
        <v>12394.273291451755</v>
      </c>
      <c r="S59" s="5">
        <f>'sv23'!$AA$5+'sv23'!$Z$5*($B59-$O59/3600)+'sv23'!$Y$5*($B59-$O59/3600)^2+'sv23'!$X$5*($B59-$O59/3600)^3+'sv23'!$W$5*($B59-$O59/3600)^4+'sv23'!$V$5*($B59-$O59/3600)^5+'sv23'!$U$5*($B59-$O59/3600)^6+'sv23'!$T$5*($B59-$O59/3600)^7+'sv23'!$S$5*($B59-$O59/3600)^8</f>
        <v>21606.599364873589</v>
      </c>
      <c r="T59">
        <f>coord!$B$6*M59/10^6</f>
        <v>110940.30725791902</v>
      </c>
      <c r="U59">
        <f>SQRT(($Q59*1000+coord!$B$7*$O59*$R59*1000-coord!$B$2)^2+($R59*1000-coord!$B$7*$O59*$Q59*1000-coord!$C$2)^2+($S59*1000-coord!$D$2)^2)</f>
        <v>21106720.03937209</v>
      </c>
      <c r="V59" s="3">
        <f>$D59-(U59-$T59)-coord!$E$2</f>
        <v>6.9885831326246262E-2</v>
      </c>
      <c r="W59" s="3"/>
      <c r="Y59">
        <f>-(Q59*1000-coord!$B$2)/$U59</f>
        <v>-0.22209279383021535</v>
      </c>
      <c r="Z59">
        <f>-(R59*1000-coord!$C$2)/$U59</f>
        <v>-0.54341475401466355</v>
      </c>
      <c r="AA59">
        <f>-(S59*1000-coord!$D$2)/$U59</f>
        <v>-0.8095531214087166</v>
      </c>
      <c r="AB59">
        <v>1</v>
      </c>
      <c r="AD59">
        <v>0.68065119202262303</v>
      </c>
      <c r="AE59">
        <v>-0.54341475401466355</v>
      </c>
      <c r="AF59">
        <v>0.78817910972579064</v>
      </c>
      <c r="AG59">
        <v>0.38449460474768771</v>
      </c>
      <c r="AH59">
        <v>-0.9002058735707722</v>
      </c>
      <c r="AI59">
        <v>-0.17262976318683776</v>
      </c>
      <c r="AJ59">
        <v>-0.24805864307779399</v>
      </c>
      <c r="AL59">
        <v>0.34973040553861379</v>
      </c>
      <c r="AM59">
        <v>2.4293527905257126</v>
      </c>
      <c r="AN59">
        <v>-0.50078383404138138</v>
      </c>
      <c r="AO59">
        <v>-1.0984127353966117E-2</v>
      </c>
      <c r="AQ59">
        <v>-5.3550913583369143E-2</v>
      </c>
      <c r="AR59">
        <v>0.47971516840599593</v>
      </c>
      <c r="AS59">
        <v>0.29025218070427289</v>
      </c>
      <c r="AT59">
        <v>0.11975465740669929</v>
      </c>
      <c r="AV59">
        <v>-54.367015200801276</v>
      </c>
      <c r="AX59">
        <v>-20.294298302131377</v>
      </c>
      <c r="BA59">
        <f>SQRT(($Q59*1000+coord!$B$7*$O59*$R59*1000-coord!$B$2-AX$58)^2+($R59*1000-coord!$B$7*$O59*$Q59*1000-coord!$C$2-AX$59)^2+($S59*1000-coord!$D$2-AX$60)^2)</f>
        <v>21106716.429659385</v>
      </c>
      <c r="BB59" s="3">
        <f t="shared" ref="BB59:BB64" si="14">$D59-(BA59-$T59)-AX$61</f>
        <v>-2.8606570082652354</v>
      </c>
      <c r="BD59" s="1"/>
      <c r="BE59" s="1"/>
      <c r="BF59" s="1"/>
      <c r="BS59">
        <f>-SIN(RADIANS(BH58))*SIN(RADIANS(BI58))</f>
        <v>-0.14680045855125634</v>
      </c>
      <c r="BT59">
        <f>COS(RADIANS(BI58))</f>
        <v>0.97852398687682607</v>
      </c>
      <c r="BU59">
        <f>COS(RADIANS(BH58))*SIN(RADIANS(BI58))</f>
        <v>0.14470809402318152</v>
      </c>
      <c r="BW59" t="s">
        <v>94</v>
      </c>
      <c r="BX59">
        <v>-0.20613298403380542</v>
      </c>
      <c r="BY59">
        <v>0.97852398687682607</v>
      </c>
      <c r="BZ59">
        <v>0</v>
      </c>
      <c r="CA59">
        <v>0</v>
      </c>
      <c r="CB59" s="1">
        <v>-21.577260126294789</v>
      </c>
      <c r="CD59" s="1"/>
      <c r="CE59" s="1"/>
      <c r="CF59" s="1"/>
      <c r="CH59">
        <v>-0.5685882126533246</v>
      </c>
      <c r="CI59">
        <v>0.48045140876859954</v>
      </c>
      <c r="CJ59">
        <v>-1.4543342284840222E-2</v>
      </c>
      <c r="CK59">
        <v>-0.26470302698315429</v>
      </c>
      <c r="CM59">
        <v>-0.14680045855125637</v>
      </c>
      <c r="CN59">
        <v>0.97852398687682607</v>
      </c>
      <c r="CO59">
        <v>0.14470809402318152</v>
      </c>
      <c r="CP59">
        <v>0</v>
      </c>
      <c r="CR59" s="5">
        <v>0.31549162289437716</v>
      </c>
      <c r="CS59" s="5">
        <v>0.58733801296951549</v>
      </c>
      <c r="CT59" s="5">
        <v>-0.33141622616483585</v>
      </c>
      <c r="CU59" s="5">
        <v>-0.26470302698315429</v>
      </c>
    </row>
    <row r="60" spans="1:108">
      <c r="A60">
        <v>14</v>
      </c>
      <c r="B60">
        <f t="shared" si="13"/>
        <v>0.3666666666666667</v>
      </c>
      <c r="C60">
        <v>10</v>
      </c>
      <c r="D60">
        <v>23099953.577</v>
      </c>
      <c r="E60">
        <v>121391077.18347999</v>
      </c>
      <c r="F60">
        <v>3075.2330000000002</v>
      </c>
      <c r="G60">
        <v>23099954.228999998</v>
      </c>
      <c r="H60">
        <v>94590452.947449997</v>
      </c>
      <c r="J60" s="5">
        <f>'sv10'!$AA$3+'sv10'!$Z$3*($B60)+'sv10'!$Y$3*($B60)^2+'sv10'!$X$3*($B60)^3+'sv10'!$W$3*($B60)^4+'sv10'!$V$3*($B60)^5+'sv10'!$U$3*($B60)^6+'sv10'!$T$3*($B60)^7+'sv10'!$S$3*($B60)^8</f>
        <v>7612.0853769348578</v>
      </c>
      <c r="K60" s="5">
        <f>'sv10'!$AA$4+'sv10'!$Z$4*($B60)+'sv10'!$Y$4*($B60)^2+'sv10'!$X$4*($B60)^3+'sv10'!$W$4*($B60)^4+'sv10'!$V$4*($B60)^5+'sv10'!$U$4*($B60)^6+'sv10'!$T$4*($B60)^7+'sv10'!$S$4*($B60)^8</f>
        <v>-17271.971436186286</v>
      </c>
      <c r="L60" s="5">
        <f>'sv10'!$AA$5+'sv10'!$Z$5*($B60)+'sv10'!$Y$5*($B60)^2+'sv10'!$X$5*($B60)^3+'sv10'!$W$5*($B60)^4+'sv10'!$V$5*($B60)^5+'sv10'!$U$5*($B60)^6+'sv10'!$T$5*($B60)^7+'sv10'!$S$5*($B60)^8</f>
        <v>18358.158267309092</v>
      </c>
      <c r="M60" s="5">
        <f>'sv10'!$AA$6+'sv10'!$Z$6*$B60+'sv10'!$Y$6*$B60^2+'sv10'!$X$6*$B60^3+'sv10'!$W$6*$B60^4+'sv10'!$V$6*$B60^5+'sv10'!$U$6*$B60^6+'sv10'!$T$6*$B60^7+'sv10'!$S$6*$B60^8</f>
        <v>-43.001046156652968</v>
      </c>
      <c r="O60">
        <f>SQRT(($J60*1000-coord!$B$2)^2+($K60*1000-coord!$C$2)^2+($L60*1000-coord!$D$2)^2)/coord!$B$6</f>
        <v>7.7009916878798046E-2</v>
      </c>
      <c r="Q60" s="5">
        <f>'sv10'!$AA$3+'sv10'!$Z$3*($B60-$O60/3600)+'sv10'!$Y$3*($B60-$O60/3600)^2+'sv10'!$X$3*($B60-$O60/3600)^3+'sv10'!$W$3*($B60-$O60/3600)^4+'sv10'!$V$3*($B60-$O60/3600)^5+'sv10'!$U$3*($B60-$O60/3600)^6+'sv10'!$T$3*($B60-$O60/3600)^7+'sv10'!$S$3*($B60-$O60/3600)^8+K60*coord!$B$7*O60</f>
        <v>7611.912768625446</v>
      </c>
      <c r="R60" s="5">
        <f>'sv10'!$AA$4+'sv10'!$Z$4*($B60-$O60/3600)+'sv10'!$Y$4*($B60-$O60/3600)^2+'sv10'!$X$4*($B60-$O60/3600)^3+'sv10'!$W$4*($B60-$O60/3600)^4+'sv10'!$V$4*($B60-$O60/3600)^5+'sv10'!$U$4*($B60-$O60/3600)^6+'sv10'!$T$4*($B60-$O60/3600)^7+'sv10'!$S$4*($B60-$O60/3600)^8-J60*coord!$B$7*O60</f>
        <v>-17272.18208880816</v>
      </c>
      <c r="S60" s="5">
        <f>'sv10'!$AA$5+'sv10'!$Z$5*($B60-$O60/3600)+'sv10'!$Y$5*($B60-$O60/3600)^2+'sv10'!$X$5*($B60-$O60/3600)^3+'sv10'!$W$5*($B60-$O60/3600)^4+'sv10'!$V$5*($B60-$O60/3600)^5+'sv10'!$U$5*($B60-$O60/3600)^6+'sv10'!$T$5*($B60-$O60/3600)^7+'sv10'!$S$5*($B60-$O60/3600)^8</f>
        <v>18358.030283334501</v>
      </c>
      <c r="T60">
        <f>coord!$B$6*M60/10^6</f>
        <v>-12891.389323874448</v>
      </c>
      <c r="U60">
        <f>SQRT(($Q60*1000+coord!$B$7*$O60*$R60*1000-coord!$B$2)^2+($R60*1000-coord!$B$7*$O60*$Q60*1000-coord!$C$2)^2+($S60*1000-coord!$D$2)^2)</f>
        <v>23087077.641957361</v>
      </c>
      <c r="V60" s="3">
        <f>$D60-(U60-$T60)-coord!$E$2</f>
        <v>-15.454281236976385</v>
      </c>
      <c r="W60" s="3"/>
      <c r="Y60">
        <f>-(Q60*1000-coord!$B$2)/$U60</f>
        <v>-0.13960340272638294</v>
      </c>
      <c r="Z60">
        <f>-(R60*1000-coord!$C$2)/$U60</f>
        <v>0.78817910972579064</v>
      </c>
      <c r="AA60">
        <f>-(S60*1000-coord!$D$2)/$U60</f>
        <v>-0.59940206481071356</v>
      </c>
      <c r="AB60">
        <v>1</v>
      </c>
      <c r="AD60">
        <v>-0.72559797990479846</v>
      </c>
      <c r="AE60">
        <v>-0.8095531214087166</v>
      </c>
      <c r="AF60">
        <v>-0.59940206481071356</v>
      </c>
      <c r="AG60">
        <v>-0.46135212018838112</v>
      </c>
      <c r="AH60">
        <v>-8.0485421863110002E-2</v>
      </c>
      <c r="AI60">
        <v>-0.83518883105792652</v>
      </c>
      <c r="AJ60">
        <v>5.4971384834931677E-2</v>
      </c>
      <c r="AL60">
        <v>1.1230986132882035</v>
      </c>
      <c r="AM60">
        <v>-0.50078383404138138</v>
      </c>
      <c r="AN60">
        <v>2.4610374387332405</v>
      </c>
      <c r="AO60">
        <v>-3.4566081543987148</v>
      </c>
      <c r="AQ60">
        <v>1.4483953877964284</v>
      </c>
      <c r="AR60">
        <v>0.2902521807042725</v>
      </c>
      <c r="AS60">
        <v>2.3793413748440351</v>
      </c>
      <c r="AT60">
        <v>1.8332958702852347</v>
      </c>
      <c r="AV60">
        <v>35.790087093498215</v>
      </c>
      <c r="AX60">
        <v>15.793899293713508</v>
      </c>
      <c r="BA60">
        <f>SQRT(($Q60*1000+coord!$B$7*$O60*$R60*1000-coord!$B$2-AX$58)^2+($R60*1000-coord!$B$7*$O60*$Q60*1000-coord!$C$2-AX$59)^2+($S60*1000-coord!$D$2-AX$60)^2)</f>
        <v>23087051.015459862</v>
      </c>
      <c r="BB60" s="3">
        <f t="shared" si="14"/>
        <v>4.6319607180607534</v>
      </c>
      <c r="BD60" s="1"/>
      <c r="BE60" s="1"/>
      <c r="BF60" s="1"/>
      <c r="BS60">
        <f>COS(RADIANS(BH58))</f>
        <v>0.70201328866150636</v>
      </c>
      <c r="BT60">
        <v>0</v>
      </c>
      <c r="BU60">
        <f>SIN(RADIANS(BH58))</f>
        <v>0.71216384529310151</v>
      </c>
      <c r="BW60" t="s">
        <v>95</v>
      </c>
      <c r="BX60">
        <v>0.68693684206156935</v>
      </c>
      <c r="BY60">
        <v>0.14470809402318152</v>
      </c>
      <c r="BZ60">
        <v>0.71216384529310139</v>
      </c>
      <c r="CA60">
        <v>0</v>
      </c>
      <c r="CB60" s="1">
        <v>14.038992893519655</v>
      </c>
      <c r="CD60" s="1"/>
      <c r="CE60" s="1"/>
      <c r="CF60" s="1"/>
      <c r="CH60">
        <v>2.7439366291679859</v>
      </c>
      <c r="CI60">
        <v>0.23933968134263214</v>
      </c>
      <c r="CJ60">
        <v>2.7314388963791094</v>
      </c>
      <c r="CK60">
        <v>2.5955685803724071</v>
      </c>
      <c r="CM60">
        <v>0.70201328866150636</v>
      </c>
      <c r="CN60">
        <v>0</v>
      </c>
      <c r="CO60">
        <v>0.71216384529310139</v>
      </c>
      <c r="CP60">
        <v>0</v>
      </c>
      <c r="CR60" s="5">
        <v>-2.9794259236084475E-2</v>
      </c>
      <c r="CS60" s="5">
        <v>-0.33141622616483679</v>
      </c>
      <c r="CT60" s="5">
        <v>3.8647775795974235</v>
      </c>
      <c r="CU60" s="5">
        <v>2.5955685803724071</v>
      </c>
    </row>
    <row r="61" spans="1:108">
      <c r="A61">
        <v>14</v>
      </c>
      <c r="B61">
        <f t="shared" si="13"/>
        <v>0.3666666666666667</v>
      </c>
      <c r="C61">
        <v>4</v>
      </c>
      <c r="D61">
        <v>21103286.098999999</v>
      </c>
      <c r="E61">
        <v>110898517.76549</v>
      </c>
      <c r="F61">
        <v>-773.34699999999998</v>
      </c>
      <c r="G61">
        <v>21103286.030999999</v>
      </c>
      <c r="H61">
        <v>86414426.361479998</v>
      </c>
      <c r="J61" s="5">
        <f>'sv04'!$AA$3+'sv04'!$Z$3*($B61)+'sv04'!$Y$3*($B61)^2+'sv04'!$X$3*($B61)^3+'sv04'!$W$3*($B61)^4+'sv04'!$V$3*($B61)^5+'sv04'!$U$3*($B61)^6+'sv04'!$T$3*($B61)^7+'sv04'!$S$3*($B61)^8</f>
        <v>21283.42427168199</v>
      </c>
      <c r="K61" s="5">
        <f>'sv04'!$AA$4+'sv04'!$Z$4*($B61)+'sv04'!$Y$4*($B61)^2+'sv04'!$X$4*($B61)^3+'sv04'!$W$4*($B61)^4+'sv04'!$V$4*($B61)^5+'sv04'!$U$4*($B61)^6+'sv04'!$T$4*($B61)^7+'sv04'!$S$4*($B61)^8</f>
        <v>-7199.3693503549284</v>
      </c>
      <c r="L61" s="5">
        <f>'sv04'!$AA$5+'sv04'!$Z$5*($B61)+'sv04'!$Y$5*($B61)^2+'sv04'!$X$5*($B61)^3+'sv04'!$W$5*($B61)^4+'sv04'!$V$5*($B61)^5+'sv04'!$U$5*($B61)^6+'sv04'!$T$5*($B61)^7+'sv04'!$S$5*($B61)^8</f>
        <v>14267.453498158</v>
      </c>
      <c r="M61" s="5">
        <f>'sv04'!$AA$6+'sv04'!$Z$6*$B61+'sv04'!$Y$6*$B61^2+'sv04'!$X$6*$B61^3+'sv04'!$W$6*$B61^4+'sv04'!$V$6*$B61^5+'sv04'!$U$6*$B61^6+'sv04'!$T$6*$B61^7+'sv04'!$S$6*$B61^8</f>
        <v>86.59832858264393</v>
      </c>
      <c r="O61">
        <f>SQRT(($J61*1000-coord!$B$2)^2+($K61*1000-coord!$C$2)^2+($L61*1000-coord!$D$2)^2)/coord!$B$6</f>
        <v>7.0479572075837632E-2</v>
      </c>
      <c r="Q61" s="5">
        <f>'sv04'!$AA$3+'sv04'!$Z$3*($B61-$O61/3600)+'sv04'!$Y$3*($B61-$O61/3600)^2+'sv04'!$X$3*($B61-$O61/3600)^3+'sv04'!$W$3*($B61-$O61/3600)^4+'sv04'!$V$3*($B61-$O61/3600)^5+'sv04'!$U$3*($B61-$O61/3600)^6+'sv04'!$T$3*($B61-$O61/3600)^7+'sv04'!$S$3*($B61-$O61/3600)^8+K61*coord!$B$7*O61</f>
        <v>21283.262395355741</v>
      </c>
      <c r="R61" s="5">
        <f>'sv04'!$AA$4+'sv04'!$Z$4*($B61-$O61/3600)+'sv04'!$Y$4*($B61-$O61/3600)^2+'sv04'!$X$4*($B61-$O61/3600)^3+'sv04'!$W$4*($B61-$O61/3600)^4+'sv04'!$V$4*($B61-$O61/3600)^5+'sv04'!$U$4*($B61-$O61/3600)^6+'sv04'!$T$4*($B61-$O61/3600)^7+'sv04'!$S$4*($B61-$O61/3600)^8-J61*coord!$B$7*O61</f>
        <v>-7199.5157706173568</v>
      </c>
      <c r="S61" s="5">
        <f>'sv04'!$AA$5+'sv04'!$Z$5*($B61-$O61/3600)+'sv04'!$Y$5*($B61-$O61/3600)^2+'sv04'!$X$5*($B61-$O61/3600)^3+'sv04'!$W$5*($B61-$O61/3600)^4+'sv04'!$V$5*($B61-$O61/3600)^5+'sv04'!$U$5*($B61-$O61/3600)^6+'sv04'!$T$5*($B61-$O61/3600)^7+'sv04'!$S$5*($B61-$O61/3600)^8</f>
        <v>14267.616587171633</v>
      </c>
      <c r="T61">
        <f>coord!$B$6*M61/10^6</f>
        <v>25961.525784482477</v>
      </c>
      <c r="U61">
        <f>SQRT(($Q61*1000+coord!$B$7*$O61*$R61*1000-coord!$B$2)^2+($R61*1000-coord!$B$7*$O61*$Q61*1000-coord!$C$2)^2+($S61*1000-coord!$D$2)^2)</f>
        <v>21129258.729517229</v>
      </c>
      <c r="V61" s="3">
        <f>$D61-(U61-$T61)-coord!$E$2</f>
        <v>-11.104732748121023</v>
      </c>
      <c r="W61" s="3"/>
      <c r="Y61">
        <f>-(Q61*1000-coord!$B$2)/$U61</f>
        <v>-0.7995729732323531</v>
      </c>
      <c r="Z61">
        <f>-(R61*1000-coord!$C$2)/$U61</f>
        <v>0.38449460474768771</v>
      </c>
      <c r="AA61">
        <f>-(S61*1000-coord!$D$2)/$U61</f>
        <v>-0.46135212018838112</v>
      </c>
      <c r="AB61">
        <v>1</v>
      </c>
      <c r="AD61">
        <v>1</v>
      </c>
      <c r="AE61">
        <v>1</v>
      </c>
      <c r="AF61">
        <v>1</v>
      </c>
      <c r="AG61">
        <v>1</v>
      </c>
      <c r="AH61">
        <v>1</v>
      </c>
      <c r="AI61">
        <v>1</v>
      </c>
      <c r="AJ61">
        <v>1</v>
      </c>
      <c r="AL61">
        <v>-3.1796788124971407</v>
      </c>
      <c r="AM61">
        <v>-1.0984127353966117E-2</v>
      </c>
      <c r="AN61">
        <v>-3.4566081543987148</v>
      </c>
      <c r="AO61">
        <v>7</v>
      </c>
      <c r="AQ61">
        <v>1.8526187528202551</v>
      </c>
      <c r="AR61">
        <v>0.11975465740669898</v>
      </c>
      <c r="AS61">
        <v>1.8332958702852344</v>
      </c>
      <c r="AT61">
        <v>1.8898619215770083</v>
      </c>
      <c r="AV61">
        <v>-35.101791270077229</v>
      </c>
      <c r="AX61">
        <v>6.5402555446076178</v>
      </c>
      <c r="BA61">
        <f>SQRT(($Q61*1000+coord!$B$7*$O61*$R61*1000-coord!$B$2-AX$58)^2+($R61*1000-coord!$B$7*$O61*$Q61*1000-coord!$C$2-AX$59)^2+($S61*1000-coord!$D$2-AX$60)^2)</f>
        <v>21129236.972741745</v>
      </c>
      <c r="BB61" s="3">
        <f t="shared" si="14"/>
        <v>4.1117871907603956</v>
      </c>
      <c r="BD61" s="1"/>
      <c r="BE61" s="1"/>
      <c r="BF61" s="1"/>
      <c r="BX61">
        <v>0</v>
      </c>
      <c r="BY61">
        <v>0</v>
      </c>
      <c r="BZ61">
        <v>0</v>
      </c>
      <c r="CA61">
        <v>1</v>
      </c>
      <c r="CD61" s="1"/>
      <c r="CE61" s="1"/>
      <c r="CF61" s="1"/>
      <c r="CH61">
        <v>1.8526187528202551</v>
      </c>
      <c r="CI61">
        <v>0.11975465740669898</v>
      </c>
      <c r="CJ61">
        <v>1.8332958702852344</v>
      </c>
      <c r="CK61">
        <v>1.8898619215770083</v>
      </c>
      <c r="CM61">
        <v>0</v>
      </c>
      <c r="CN61">
        <v>0</v>
      </c>
      <c r="CO61">
        <v>0</v>
      </c>
      <c r="CP61">
        <v>1</v>
      </c>
      <c r="CR61" s="5">
        <v>-2.1615303983301137E-2</v>
      </c>
      <c r="CS61" s="5">
        <v>-0.26470302698315462</v>
      </c>
      <c r="CT61" s="5">
        <v>2.5955685803724071</v>
      </c>
      <c r="CU61" s="5">
        <v>1.8898619215770083</v>
      </c>
    </row>
    <row r="62" spans="1:108">
      <c r="A62">
        <v>14</v>
      </c>
      <c r="B62">
        <f t="shared" si="13"/>
        <v>0.3666666666666667</v>
      </c>
      <c r="C62">
        <v>20</v>
      </c>
      <c r="D62">
        <v>22870165.074999999</v>
      </c>
      <c r="E62">
        <v>120183531.60947999</v>
      </c>
      <c r="F62">
        <v>-2990.9720000000002</v>
      </c>
      <c r="G62">
        <v>22870165.646000002</v>
      </c>
      <c r="H62">
        <v>93649499.862460002</v>
      </c>
      <c r="J62" s="5">
        <f>'sv20'!$AA$3+'sv20'!$Z$3*($B62)+'sv20'!$Y$3*($B62)^2+'sv20'!$X$3*($B62)^3+'sv20'!$W$3*($B62)^4+'sv20'!$V$3*($B62)^5+'sv20'!$U$3*($B62)^6+'sv20'!$T$3*($B62)^7+'sv20'!$S$3*($B62)^8</f>
        <v>14183.51842494357</v>
      </c>
      <c r="K62" s="5">
        <f>'sv20'!$AA$4+'sv20'!$Z$4*($B62)+'sv20'!$Y$4*($B62)^2+'sv20'!$X$4*($B62)^3+'sv20'!$W$4*($B62)^4+'sv20'!$V$4*($B62)^5+'sv20'!$U$4*($B62)^6+'sv20'!$T$4*($B62)^7+'sv20'!$S$4*($B62)^8</f>
        <v>21527.616543408443</v>
      </c>
      <c r="L62" s="5">
        <f>'sv20'!$AA$5+'sv20'!$Z$5*($B62)+'sv20'!$Y$5*($B62)^2+'sv20'!$X$5*($B62)^3+'sv20'!$W$5*($B62)^4+'sv20'!$V$5*($B62)^5+'sv20'!$U$5*($B62)^6+'sv20'!$T$5*($B62)^7+'sv20'!$S$5*($B62)^8</f>
        <v>6361.4206513480722</v>
      </c>
      <c r="M62" s="5">
        <f>'sv20'!$AA$6+'sv20'!$Z$6*$B62+'sv20'!$Y$6*$B62^2+'sv20'!$X$6*$B62^3+'sv20'!$W$6*$B62^4+'sv20'!$V$6*$B62^5+'sv20'!$U$6*$B62^6+'sv20'!$T$6*$B62^7+'sv20'!$S$6*$B62^8</f>
        <v>55.817948760702677</v>
      </c>
      <c r="O62">
        <f>SQRT(($J62*1000-coord!$B$2)^2+($K62*1000-coord!$C$2)^2+($L62*1000-coord!$D$2)^2)/coord!$B$6</f>
        <v>7.6342674065323177E-2</v>
      </c>
      <c r="Q62" s="5">
        <f>'sv20'!$AA$3+'sv20'!$Z$3*($B62-$O62/3600)+'sv20'!$Y$3*($B62-$O62/3600)^2+'sv20'!$X$3*($B62-$O62/3600)^3+'sv20'!$W$3*($B62-$O62/3600)^4+'sv20'!$V$3*($B62-$O62/3600)^5+'sv20'!$U$3*($B62-$O62/3600)^6+'sv20'!$T$3*($B62-$O62/3600)^7+'sv20'!$S$3*($B62-$O62/3600)^8+K62*coord!$B$7*O62</f>
        <v>14183.637393488832</v>
      </c>
      <c r="R62" s="5">
        <f>'sv20'!$AA$4+'sv20'!$Z$4*($B62-$O62/3600)+'sv20'!$Y$4*($B62-$O62/3600)^2+'sv20'!$X$4*($B62-$O62/3600)^3+'sv20'!$W$4*($B62-$O62/3600)^4+'sv20'!$V$4*($B62-$O62/3600)^5+'sv20'!$U$4*($B62-$O62/3600)^6+'sv20'!$T$4*($B62-$O62/3600)^7+'sv20'!$S$4*($B62-$O62/3600)^8-J62*coord!$B$7*O62</f>
        <v>21527.469406670352</v>
      </c>
      <c r="S62" s="5">
        <f>'sv20'!$AA$5+'sv20'!$Z$5*($B62-$O62/3600)+'sv20'!$Y$5*($B62-$O62/3600)^2+'sv20'!$X$5*($B62-$O62/3600)^3+'sv20'!$W$5*($B62-$O62/3600)^4+'sv20'!$V$5*($B62-$O62/3600)^5+'sv20'!$U$5*($B62-$O62/3600)^6+'sv20'!$T$5*($B62-$O62/3600)^7+'sv20'!$S$5*($B62-$O62/3600)^8</f>
        <v>6361.6480540390658</v>
      </c>
      <c r="T62">
        <f>coord!$B$6*M62/10^6</f>
        <v>16733.800059489109</v>
      </c>
      <c r="U62">
        <f>SQRT(($Q62*1000+coord!$B$7*$O62*$R62*1000-coord!$B$2)^2+($R62*1000-coord!$B$7*$O62*$Q62*1000-coord!$C$2)^2+($S62*1000-coord!$D$2)^2)</f>
        <v>22886874.878683623</v>
      </c>
      <c r="V62" s="3">
        <f>$D62-(U62-$T62)-coord!$E$2</f>
        <v>23.996375866234303</v>
      </c>
      <c r="W62" s="3"/>
      <c r="Y62">
        <f>-(Q62*1000-coord!$B$2)/$U62</f>
        <v>-0.42796403067731514</v>
      </c>
      <c r="Z62">
        <f>-(R62*1000-coord!$C$2)/$U62</f>
        <v>-0.9002058735707722</v>
      </c>
      <c r="AA62">
        <f>-(S62*1000-coord!$D$2)/$U62</f>
        <v>-8.0485421863110002E-2</v>
      </c>
      <c r="AB62">
        <v>1</v>
      </c>
      <c r="BA62">
        <f>SQRT(($Q62*1000+coord!$B$7*$O62*$R62*1000-coord!$B$2-AX$58)^2+($R62*1000-coord!$B$7*$O62*$Q62*1000-coord!$C$2-AX$59)^2+($S62*1000-coord!$D$2-AX$60)^2)</f>
        <v>22886888.307949532</v>
      </c>
      <c r="BB62" s="3">
        <f t="shared" si="14"/>
        <v>4.0268544127297616</v>
      </c>
      <c r="BD62" s="1"/>
      <c r="BE62" s="1"/>
      <c r="BF62" s="1"/>
      <c r="CD62" s="1"/>
      <c r="CE62" s="1"/>
      <c r="CF62" s="1"/>
    </row>
    <row r="63" spans="1:108">
      <c r="A63">
        <v>14</v>
      </c>
      <c r="B63">
        <f t="shared" si="13"/>
        <v>0.3666666666666667</v>
      </c>
      <c r="C63">
        <v>13</v>
      </c>
      <c r="D63">
        <v>20100482.866999999</v>
      </c>
      <c r="E63">
        <v>105628750.27649</v>
      </c>
      <c r="F63">
        <v>-552.77</v>
      </c>
      <c r="G63">
        <v>20100480.931000002</v>
      </c>
      <c r="H63">
        <v>82308109.175479993</v>
      </c>
      <c r="J63" s="5">
        <f>'sv13'!$AA$3+'sv13'!$Z$3*($B63)+'sv13'!$Y$3*($B63)^2+'sv13'!$X$3*($B63)^3+'sv13'!$W$3*($B63)^4+'sv13'!$V$3*($B63)^5+'sv13'!$U$3*($B63)^6+'sv13'!$T$3*($B63)^7+'sv13'!$S$3*($B63)^8</f>
        <v>14932.174913718172</v>
      </c>
      <c r="K63" s="5">
        <f>'sv13'!$AA$4+'sv13'!$Z$4*($B63)+'sv13'!$Y$4*($B63)^2+'sv13'!$X$4*($B63)^3+'sv13'!$W$4*($B63)^4+'sv13'!$V$4*($B63)^5+'sv13'!$U$4*($B63)^6+'sv13'!$T$4*($B63)^7+'sv13'!$S$4*($B63)^8</f>
        <v>4410.4679525492638</v>
      </c>
      <c r="L63" s="5">
        <f>'sv13'!$AA$5+'sv13'!$Z$5*($B63)+'sv13'!$Y$5*($B63)^2+'sv13'!$X$5*($B63)^3+'sv13'!$W$5*($B63)^4+'sv13'!$V$5*($B63)^5+'sv13'!$U$5*($B63)^6+'sv13'!$T$5*($B63)^7+'sv13'!$S$5*($B63)^8</f>
        <v>21383.52028419526</v>
      </c>
      <c r="M63" s="5">
        <f>'sv13'!$AA$6+'sv13'!$Z$6*$B63+'sv13'!$Y$6*$B63^2+'sv13'!$X$6*$B63^3+'sv13'!$W$6*$B63^4+'sv13'!$V$6*$B63^5+'sv13'!$U$6*$B63^6+'sv13'!$T$6*$B63^7+'sv13'!$S$6*$B63^8</f>
        <v>304.21956895852674</v>
      </c>
      <c r="O63">
        <f>SQRT(($J63*1000-coord!$B$2)^2+($K63*1000-coord!$C$2)^2+($L63*1000-coord!$D$2)^2)/coord!$B$6</f>
        <v>6.7352264978646548E-2</v>
      </c>
      <c r="Q63" s="5">
        <f>'sv13'!$AA$3+'sv13'!$Z$3*($B63-$O63/3600)+'sv13'!$Y$3*($B63-$O63/3600)^2+'sv13'!$X$3*($B63-$O63/3600)^3+'sv13'!$W$3*($B63-$O63/3600)^4+'sv13'!$V$3*($B63-$O63/3600)^5+'sv13'!$U$3*($B63-$O63/3600)^6+'sv13'!$T$3*($B63-$O63/3600)^7+'sv13'!$S$3*($B63-$O63/3600)^8+K63*coord!$B$7*O63</f>
        <v>14932.319594008761</v>
      </c>
      <c r="R63" s="5">
        <f>'sv13'!$AA$4+'sv13'!$Z$4*($B63-$O63/3600)+'sv13'!$Y$4*($B63-$O63/3600)^2+'sv13'!$X$4*($B63-$O63/3600)^3+'sv13'!$W$4*($B63-$O63/3600)^4+'sv13'!$V$4*($B63-$O63/3600)^5+'sv13'!$U$4*($B63-$O63/3600)^6+'sv13'!$T$4*($B63-$O63/3600)^7+'sv13'!$S$4*($B63-$O63/3600)^8-J63*coord!$B$7*O63</f>
        <v>4410.2570989414999</v>
      </c>
      <c r="S63" s="5">
        <f>'sv13'!$AA$5+'sv13'!$Z$5*($B63-$O63/3600)+'sv13'!$Y$5*($B63-$O63/3600)^2+'sv13'!$X$5*($B63-$O63/3600)^3+'sv13'!$W$5*($B63-$O63/3600)^4+'sv13'!$V$5*($B63-$O63/3600)^5+'sv13'!$U$5*($B63-$O63/3600)^6+'sv13'!$T$5*($B63-$O63/3600)^7+'sv13'!$S$5*($B63-$O63/3600)^8</f>
        <v>21383.4633199118</v>
      </c>
      <c r="T63">
        <f>coord!$B$6*M63/10^6</f>
        <v>91202.73234977723</v>
      </c>
      <c r="U63">
        <f>SQRT(($Q63*1000+coord!$B$7*$O63*$R63*1000-coord!$B$2)^2+($R63*1000-coord!$B$7*$O63*$Q63*1000-coord!$C$2)^2+($S63*1000-coord!$D$2)^2)</f>
        <v>20191691.290040929</v>
      </c>
      <c r="V63" s="3">
        <f>$D63-(U63-$T63)-coord!$E$2</f>
        <v>-5.6906911544501781</v>
      </c>
      <c r="W63" s="3"/>
      <c r="Y63">
        <f>-(Q63*1000-coord!$B$2)/$U63</f>
        <v>-0.52216732475545824</v>
      </c>
      <c r="Z63">
        <f>-(R63*1000-coord!$C$2)/$U63</f>
        <v>-0.17262976318683776</v>
      </c>
      <c r="AA63">
        <f>-(S63*1000-coord!$D$2)/$U63</f>
        <v>-0.83518883105792652</v>
      </c>
      <c r="AB63">
        <v>1</v>
      </c>
      <c r="BA63">
        <f>SQRT(($Q63*1000+coord!$B$7*$O63*$R63*1000-coord!$B$2-AX$58)^2+($R63*1000-coord!$B$7*$O63*$Q63*1000-coord!$C$2-AX$59)^2+($S63*1000-coord!$D$2-AX$60)^2)</f>
        <v>20191677.248485729</v>
      </c>
      <c r="BB63" s="3">
        <f t="shared" si="14"/>
        <v>1.8106085007143236</v>
      </c>
      <c r="BD63" s="1"/>
      <c r="BE63" s="1"/>
      <c r="BF63" s="1"/>
      <c r="CD63" s="1"/>
      <c r="CE63" s="1"/>
      <c r="CF63" s="1"/>
    </row>
    <row r="64" spans="1:108">
      <c r="A64">
        <v>14</v>
      </c>
      <c r="B64">
        <f t="shared" si="13"/>
        <v>0.3666666666666667</v>
      </c>
      <c r="C64">
        <v>7</v>
      </c>
      <c r="D64">
        <v>21996156.622000001</v>
      </c>
      <c r="E64">
        <v>115590585.84449001</v>
      </c>
      <c r="F64">
        <v>2988.4169999999999</v>
      </c>
      <c r="G64">
        <v>21996155.447000001</v>
      </c>
      <c r="H64">
        <v>90070586.705469996</v>
      </c>
      <c r="J64" s="5">
        <f>'sv07'!$AA$3+'sv07'!$Z$3*($B64)+'sv07'!$Y$3*($B64)^2+'sv07'!$X$3*($B64)^3+'sv07'!$W$3*($B64)^4+'sv07'!$V$3*($B64)^5+'sv07'!$U$3*($B64)^6+'sv07'!$T$3*($B64)^7+'sv07'!$S$3*($B64)^8</f>
        <v>25662.960908178258</v>
      </c>
      <c r="K64" s="5">
        <f>'sv07'!$AA$4+'sv07'!$Z$4*($B64)+'sv07'!$Y$4*($B64)^2+'sv07'!$X$4*($B64)^3+'sv07'!$W$4*($B64)^4+'sv07'!$V$4*($B64)^5+'sv07'!$U$4*($B64)^6+'sv07'!$T$4*($B64)^7+'sv07'!$S$4*($B64)^8</f>
        <v>6381.0090113527431</v>
      </c>
      <c r="L64" s="5">
        <f>'sv07'!$AA$5+'sv07'!$Z$5*($B64)+'sv07'!$Y$5*($B64)^2+'sv07'!$X$5*($B64)^3+'sv07'!$W$5*($B64)^4+'sv07'!$V$5*($B64)^5+'sv07'!$U$5*($B64)^6+'sv07'!$T$5*($B64)^7+'sv07'!$S$5*($B64)^8</f>
        <v>3310.670785939928</v>
      </c>
      <c r="M64" s="5">
        <f>'sv07'!$AA$6+'sv07'!$Z$6*$B64+'sv07'!$Y$6*$B64^2+'sv07'!$X$6*$B64^3+'sv07'!$W$6*$B64^4+'sv07'!$V$6*$B64^5+'sv07'!$U$6*$B64^6+'sv07'!$T$6*$B64^7+'sv07'!$S$6*$B64^8</f>
        <v>-0.63768351784929633</v>
      </c>
      <c r="O64">
        <f>SQRT(($J64*1000-coord!$B$2)^2+($K64*1000-coord!$C$2)^2+($L64*1000-coord!$D$2)^2)/coord!$B$6</f>
        <v>7.3370514694436298E-2</v>
      </c>
      <c r="Q64" s="5">
        <f>'sv07'!$AA$3+'sv07'!$Z$3*($B64-$O64/3600)+'sv07'!$Y$3*($B64-$O64/3600)^2+'sv07'!$X$3*($B64-$O64/3600)^3+'sv07'!$W$3*($B64-$O64/3600)^4+'sv07'!$V$3*($B64-$O64/3600)^5+'sv07'!$U$3*($B64-$O64/3600)^6+'sv07'!$T$3*($B64-$O64/3600)^7+'sv07'!$S$3*($B64-$O64/3600)^8+K64*coord!$B$7*O64</f>
        <v>25663.028094233912</v>
      </c>
      <c r="R64" s="5">
        <f>'sv07'!$AA$4+'sv07'!$Z$4*($B64-$O64/3600)+'sv07'!$Y$4*($B64-$O64/3600)^2+'sv07'!$X$4*($B64-$O64/3600)^3+'sv07'!$W$4*($B64-$O64/3600)^4+'sv07'!$V$4*($B64-$O64/3600)^5+'sv07'!$U$4*($B64-$O64/3600)^6+'sv07'!$T$4*($B64-$O64/3600)^7+'sv07'!$S$4*($B64-$O64/3600)^8-J64*coord!$B$7*O64</f>
        <v>6380.8598395884601</v>
      </c>
      <c r="S64" s="5">
        <f>'sv07'!$AA$5+'sv07'!$Z$5*($B64-$O64/3600)+'sv07'!$Y$5*($B64-$O64/3600)^2+'sv07'!$X$5*($B64-$O64/3600)^3+'sv07'!$W$5*($B64-$O64/3600)^4+'sv07'!$V$5*($B64-$O64/3600)^5+'sv07'!$U$5*($B64-$O64/3600)^6+'sv07'!$T$5*($B64-$O64/3600)^7+'sv07'!$S$5*($B64-$O64/3600)^8</f>
        <v>3310.4395298678974</v>
      </c>
      <c r="T64">
        <f>coord!$B$6*M64/10^6</f>
        <v>-191.17270924212741</v>
      </c>
      <c r="U64">
        <f>SQRT(($Q64*1000+coord!$B$7*$O64*$R64*1000-coord!$B$2)^2+($R64*1000-coord!$B$7*$O64*$Q64*1000-coord!$C$2)^2+($S64*1000-coord!$D$2)^2)</f>
        <v>21995966.593582094</v>
      </c>
      <c r="V64" s="3">
        <f>$D64-(U64-$T64)-coord!$E$2</f>
        <v>-1.1442913338541985</v>
      </c>
      <c r="W64" s="3" t="s">
        <v>127</v>
      </c>
      <c r="X64" s="1" t="s">
        <v>128</v>
      </c>
      <c r="Y64">
        <f>-(Q64*1000-coord!$B$2)/$U64</f>
        <v>-0.96718413500597</v>
      </c>
      <c r="Z64">
        <f>-(R64*1000-coord!$C$2)/$U64</f>
        <v>-0.24805864307779399</v>
      </c>
      <c r="AA64">
        <f>-(S64*1000-coord!$D$2)/$U64</f>
        <v>5.4971384834931677E-2</v>
      </c>
      <c r="AB64">
        <v>1</v>
      </c>
      <c r="BA64">
        <f>SQRT(($Q64*1000+coord!$B$7*$O64*$R64*1000-coord!$B$2-AX$58)^2+($R64*1000-coord!$B$7*$O64*$Q64*1000-coord!$C$2-AX$59)^2+($S64*1000-coord!$D$2-AX$60)^2)</f>
        <v>21995964.431158386</v>
      </c>
      <c r="BB64" s="3">
        <f t="shared" si="14"/>
        <v>-5.5221231709170127</v>
      </c>
      <c r="BC64" s="3" t="s">
        <v>127</v>
      </c>
      <c r="BD64" s="1" t="s">
        <v>128</v>
      </c>
      <c r="BE64" s="1"/>
      <c r="BF64" s="1"/>
      <c r="CD64" s="1"/>
      <c r="CE64" s="1"/>
      <c r="CF64" s="1"/>
    </row>
    <row r="65" spans="1:108">
      <c r="V65" s="3"/>
      <c r="W65" s="3">
        <f>AVERAGE($V58:$V64)</f>
        <v>-5.0145416100110323</v>
      </c>
      <c r="X65" s="1">
        <f>SQRT(DEVSQ($V58:$V64)/6)</f>
        <v>15.598914494456443</v>
      </c>
      <c r="BB65" s="3"/>
      <c r="BC65" s="3">
        <f>AVERAGE($BB58:$BB64)</f>
        <v>6.2278172310113541E-5</v>
      </c>
      <c r="BD65" s="1">
        <f>SQRT(DEVSQ($BB58:$BB64)/6)</f>
        <v>4.7425038157886954</v>
      </c>
      <c r="BE65" s="1"/>
      <c r="BF65" s="1"/>
      <c r="CD65" s="1"/>
      <c r="CE65" s="1"/>
      <c r="CF65" s="1"/>
    </row>
    <row r="66" spans="1:108">
      <c r="A66">
        <v>16</v>
      </c>
      <c r="B66">
        <f t="shared" ref="B66:B72" si="15">(60-45)/60+30*A66/3600</f>
        <v>0.3833333333333333</v>
      </c>
      <c r="C66">
        <v>2</v>
      </c>
      <c r="D66">
        <v>22704793.114</v>
      </c>
      <c r="E66">
        <v>119314495.61949</v>
      </c>
      <c r="F66">
        <v>2376.2890000000002</v>
      </c>
      <c r="G66">
        <v>22704790.010000002</v>
      </c>
      <c r="H66">
        <v>92972323.528469995</v>
      </c>
      <c r="J66" s="5">
        <f>'sv02'!$AA$3+'sv02'!$Z$3*($B66)+'sv02'!$Y$3*($B66)^2+'sv02'!$X$3*($B66)^3+'sv02'!$W$3*($B66)^4+'sv02'!$V$3*($B66)^5+'sv02'!$U$3*($B66)^6+'sv02'!$T$3*($B66)^7+'sv02'!$S$3*($B66)^8</f>
        <v>6854.4694274989224</v>
      </c>
      <c r="K66" s="5">
        <f>'sv02'!$AA$4+'sv02'!$Z$4*($B66)+'sv02'!$Y$4*($B66)^2+'sv02'!$X$4*($B66)^3+'sv02'!$W$4*($B66)^4+'sv02'!$V$4*($B66)^5+'sv02'!$U$4*($B66)^6+'sv02'!$T$4*($B66)^7+'sv02'!$S$4*($B66)^8</f>
        <v>-14573.472889712839</v>
      </c>
      <c r="L66" s="5">
        <f>'sv02'!$AA$5+'sv02'!$Z$5*($B66)+'sv02'!$Y$5*($B66)^2+'sv02'!$X$5*($B66)^3+'sv02'!$W$5*($B66)^4+'sv02'!$V$5*($B66)^5+'sv02'!$U$5*($B66)^6+'sv02'!$T$5*($B66)^7+'sv02'!$S$5*($B66)^8</f>
        <v>21034.728877625454</v>
      </c>
      <c r="M66" s="5">
        <f>'sv02'!$AA$6+'sv02'!$Z$6*$B66+'sv02'!$Y$6*$B66^2+'sv02'!$X$6*$B66^3+'sv02'!$W$6*$B66^4+'sv02'!$V$6*$B66^5+'sv02'!$U$6*$B66^6+'sv02'!$T$6*$B66^7+'sv02'!$S$6*$B66^8</f>
        <v>257.59134778746193</v>
      </c>
      <c r="O66">
        <f>SQRT(($J66*1000-coord!$B$2)^2+($K66*1000-coord!$C$2)^2+($L66*1000-coord!$D$2)^2)/coord!$B$6</f>
        <v>7.5992486179005475E-2</v>
      </c>
      <c r="Q66" s="5">
        <f>'sv02'!$AA$3+'sv02'!$Z$3*($B66-$O66/3600)+'sv02'!$Y$3*($B66-$O66/3600)^2+'sv02'!$X$3*($B66-$O66/3600)^3+'sv02'!$W$3*($B66-$O66/3600)^4+'sv02'!$V$3*($B66-$O66/3600)^5+'sv02'!$U$3*($B66-$O66/3600)^6+'sv02'!$T$3*($B66-$O66/3600)^7+'sv02'!$S$3*($B66-$O66/3600)^8+K66*coord!$B$7*O66</f>
        <v>6854.1868615953081</v>
      </c>
      <c r="R66" s="5">
        <f>'sv02'!$AA$4+'sv02'!$Z$4*($B66-$O66/3600)+'sv02'!$Y$4*($B66-$O66/3600)^2+'sv02'!$X$4*($B66-$O66/3600)^3+'sv02'!$W$4*($B66-$O66/3600)^4+'sv02'!$V$4*($B66-$O66/3600)^5+'sv02'!$U$4*($B66-$O66/3600)^6+'sv02'!$T$4*($B66-$O66/3600)^7+'sv02'!$S$4*($B66-$O66/3600)^8-J66*coord!$B$7*O66</f>
        <v>-14573.544840972443</v>
      </c>
      <c r="S66" s="5">
        <f>'sv02'!$AA$5+'sv02'!$Z$5*($B66-$O66/3600)+'sv02'!$Y$5*($B66-$O66/3600)^2+'sv02'!$X$5*($B66-$O66/3600)^3+'sv02'!$W$5*($B66-$O66/3600)^4+'sv02'!$V$5*($B66-$O66/3600)^5+'sv02'!$U$5*($B66-$O66/3600)^6+'sv02'!$T$5*($B66-$O66/3600)^7+'sv02'!$S$5*($B66-$O66/3600)^8</f>
        <v>21034.774525952336</v>
      </c>
      <c r="T66">
        <f>coord!$B$6*M66/10^6</f>
        <v>77223.943312736068</v>
      </c>
      <c r="U66">
        <f>SQRT(($Q66*1000+coord!$B$7*$O66*$R66*1000-coord!$B$2)^2+($R66*1000-coord!$B$7*$O66*$Q66*1000-coord!$C$2)^2+($S66*1000-coord!$D$2)^2)</f>
        <v>22782042.77984542</v>
      </c>
      <c r="V66" s="3">
        <f>$D66-(U66-$T66)-coord!$E$2</f>
        <v>-25.72253268584609</v>
      </c>
      <c r="W66" s="3"/>
      <c r="Y66">
        <f>-(Q66*1000-coord!$B$2)/$U66</f>
        <v>-0.10821280227672522</v>
      </c>
      <c r="Z66">
        <f>-(R66*1000-coord!$C$2)/$U66</f>
        <v>0.68027767325075672</v>
      </c>
      <c r="AA66">
        <f>-(S66*1000-coord!$D$2)/$U66</f>
        <v>-0.72492122024557071</v>
      </c>
      <c r="AB66">
        <v>1</v>
      </c>
      <c r="AD66">
        <f t="array" ref="AD66:AJ69">TRANSPOSE(Y66:AB72)</f>
        <v>-0.10821280227672522</v>
      </c>
      <c r="AE66">
        <v>-0.21681450570851102</v>
      </c>
      <c r="AF66">
        <v>-0.14238646239880848</v>
      </c>
      <c r="AG66">
        <v>-0.80423777078665937</v>
      </c>
      <c r="AH66">
        <v>-0.42734738167308339</v>
      </c>
      <c r="AI66">
        <v>-0.51657969629144251</v>
      </c>
      <c r="AJ66">
        <v>-0.9674193800788079</v>
      </c>
      <c r="AL66">
        <f t="array" ref="AL66:AO69">MMULT(AD66:AJ69,Y66:AB72)</f>
        <v>2.1111714612920145</v>
      </c>
      <c r="AM66">
        <v>0.34406514496983248</v>
      </c>
      <c r="AN66">
        <v>1.1237997994376152</v>
      </c>
      <c r="AO66">
        <v>-3.182997999214038</v>
      </c>
      <c r="AQ66">
        <f t="array" ref="AQ66:AT69">MINVERSE(AL66:AO69)</f>
        <v>2.5135949925051375</v>
      </c>
      <c r="AR66">
        <v>-3.3006985860135445E-2</v>
      </c>
      <c r="AS66">
        <v>1.470642186594231</v>
      </c>
      <c r="AT66">
        <v>1.8686725080745183</v>
      </c>
      <c r="AV66">
        <f t="array" ref="AV66:AV69">MMULT(AD66:AJ69,V66:V72)</f>
        <v>9.1339584387201747</v>
      </c>
      <c r="AX66">
        <f t="array" ref="AX66:AX69">MMULT(AQ66:AT69,AV66:AV69)</f>
        <v>8.4383187625001597</v>
      </c>
      <c r="BA66">
        <f>SQRT(($Q66*1000+coord!$B$7*$O66*$R66*1000-coord!$B$2-AX$66)^2+($R66*1000-coord!$B$7*$O66*$Q66*1000-coord!$C$2-AX$67)^2+($S66*1000-coord!$D$2-AX$68)^2)</f>
        <v>22782016.936725479</v>
      </c>
      <c r="BB66" s="3">
        <f>$D66-(BA66-$T66)-AX$69</f>
        <v>-5.8119367499069483</v>
      </c>
      <c r="BD66" s="1">
        <f>coord!$B$2+$AX66</f>
        <v>4388886.6091187634</v>
      </c>
      <c r="BE66" s="1">
        <f>coord!$C$2+$AX67</f>
        <v>924549.87586525292</v>
      </c>
      <c r="BF66" s="1">
        <f>coord!$D$2+$AX68</f>
        <v>4519603.5793398861</v>
      </c>
      <c r="BG66" s="1">
        <f>coord!$E$2+$AX69</f>
        <v>5.9325240057126791</v>
      </c>
      <c r="BH66" s="8">
        <f>lat($BD66,$BE66,$BF66)</f>
        <v>45.411241901966349</v>
      </c>
      <c r="BI66" s="8">
        <f>lon($BD66,$BE66,$BF66)</f>
        <v>11.89583009411905</v>
      </c>
      <c r="BJ66" s="6">
        <f>h($BD66,$BE66,$BF66)</f>
        <v>75.874451765790582</v>
      </c>
      <c r="BL66">
        <f>grado($BH66)</f>
        <v>45</v>
      </c>
      <c r="BM66">
        <f>MINUTOprimo($BH66)</f>
        <v>24</v>
      </c>
      <c r="BN66">
        <f>MINUTOsecondo($BH66)</f>
        <v>40.470847078856877</v>
      </c>
      <c r="BO66">
        <f>grado($BI66)</f>
        <v>11</v>
      </c>
      <c r="BP66">
        <f>MINUTOprimo($BI66)</f>
        <v>53</v>
      </c>
      <c r="BQ66">
        <f>MINUTOsecondo($BI66)</f>
        <v>44.988338828581647</v>
      </c>
      <c r="BS66">
        <f>-SIN(RADIANS(BH66))*COS(RADIANS(BI66))</f>
        <v>-0.69686936340173578</v>
      </c>
      <c r="BT66">
        <f>-SIN(RADIANS(BI66))</f>
        <v>-0.20613297034916855</v>
      </c>
      <c r="BU66">
        <f>COS(RADIANS(BH66))*COS(RADIANS(BI66))</f>
        <v>0.68693688857644586</v>
      </c>
      <c r="BW66" t="s">
        <v>93</v>
      </c>
      <c r="BX66">
        <f t="array" ref="BX66:BZ68">MINVERSE(BS66:BU68)</f>
        <v>-0.69686936340173566</v>
      </c>
      <c r="BY66">
        <v>-0.14680043956676633</v>
      </c>
      <c r="BZ66">
        <v>0.70201333412910583</v>
      </c>
      <c r="CA66">
        <v>0</v>
      </c>
      <c r="CB66" s="1">
        <f t="array" ref="CB66:CB68">MMULT(BX66:BZ68,AX66:AX68)</f>
        <v>7.8494659358146013</v>
      </c>
      <c r="CD66" s="1">
        <f t="array" ref="CD66:CF66">TRANSPOSE(CB66:CB68)</f>
        <v>7.8494659358146013</v>
      </c>
      <c r="CE66" s="1">
        <v>-21.639985649039843</v>
      </c>
      <c r="CF66" s="1">
        <v>13.753310863336385</v>
      </c>
      <c r="CH66">
        <f t="array" ref="CH66:CK69">MMULT(BX66:CA69,AQ66:AT69)</f>
        <v>-0.71439147752186938</v>
      </c>
      <c r="CI66">
        <v>0.16684015842364863</v>
      </c>
      <c r="CJ66">
        <v>0.62101190956090369</v>
      </c>
      <c r="CK66">
        <v>-1.7604972871102298E-2</v>
      </c>
      <c r="CM66">
        <f t="array" ref="CM66:CP69">TRANSPOSE(BX66:CA69)</f>
        <v>-0.69686936340173566</v>
      </c>
      <c r="CN66">
        <v>-0.20613297034916858</v>
      </c>
      <c r="CO66">
        <v>0.68693688857644575</v>
      </c>
      <c r="CP66">
        <v>0</v>
      </c>
      <c r="CR66" s="5">
        <f t="array" ref="CR66:CU69">MMULT(CH66:CK69,CM66:CP69)</f>
        <v>0.90930396673104263</v>
      </c>
      <c r="CS66" s="5">
        <v>0.31051673472654512</v>
      </c>
      <c r="CT66" s="5">
        <v>-2.4336535849270313E-2</v>
      </c>
      <c r="CU66" s="5">
        <v>-1.7604972871102298E-2</v>
      </c>
      <c r="CW66" s="3">
        <f>SQRT(CR66+CS67)</f>
        <v>1.2202240054345628</v>
      </c>
      <c r="CX66" s="3">
        <f>CT68</f>
        <v>3.9128766563382609</v>
      </c>
      <c r="CY66" s="3">
        <f>CU69</f>
        <v>1.9105579090835139</v>
      </c>
      <c r="CZ66" s="3">
        <f>BD73</f>
        <v>4.6087100933335998</v>
      </c>
      <c r="DA66">
        <v>6</v>
      </c>
      <c r="DB66" s="6">
        <f>CY66*DA66*CZ66</f>
        <v>52.831245116949169</v>
      </c>
      <c r="DC66">
        <v>5.33</v>
      </c>
      <c r="DD66" s="6">
        <f>CZ66*DC66*SQRT(0.5*(CR66+CS67)+SQRT((0.5*(CR66-CS67))^2+CS66^2))</f>
        <v>25.716814180711939</v>
      </c>
    </row>
    <row r="67" spans="1:108">
      <c r="A67">
        <v>16</v>
      </c>
      <c r="B67">
        <f t="shared" si="15"/>
        <v>0.3833333333333333</v>
      </c>
      <c r="C67">
        <v>23</v>
      </c>
      <c r="D67">
        <v>21016976.27</v>
      </c>
      <c r="E67">
        <v>110444953.74049</v>
      </c>
      <c r="F67">
        <v>-1865.421</v>
      </c>
      <c r="G67">
        <v>21016972.697000001</v>
      </c>
      <c r="H67">
        <v>86060989.43547</v>
      </c>
      <c r="J67" s="5">
        <f>'sv23'!$AA$3+'sv23'!$Z$3*($B67)+'sv23'!$Y$3*($B67)^2+'sv23'!$X$3*($B67)^3+'sv23'!$W$3*($B67)^4+'sv23'!$V$3*($B67)^5+'sv23'!$U$3*($B67)^6+'sv23'!$T$3*($B67)^7+'sv23'!$S$3*($B67)^8</f>
        <v>8969.5274659157276</v>
      </c>
      <c r="K67" s="5">
        <f>'sv23'!$AA$4+'sv23'!$Z$4*($B67)+'sv23'!$Y$4*($B67)^2+'sv23'!$X$4*($B67)^3+'sv23'!$W$4*($B67)^4+'sv23'!$V$4*($B67)^5+'sv23'!$U$4*($B67)^6+'sv23'!$T$4*($B67)^7+'sv23'!$S$4*($B67)^8</f>
        <v>12520.267748316746</v>
      </c>
      <c r="L67" s="5">
        <f>'sv23'!$AA$5+'sv23'!$Z$5*($B67)+'sv23'!$Y$5*($B67)^2+'sv23'!$X$5*($B67)^3+'sv23'!$W$5*($B67)^4+'sv23'!$V$5*($B67)^5+'sv23'!$U$5*($B67)^6+'sv23'!$T$5*($B67)^7+'sv23'!$S$5*($B67)^8</f>
        <v>21576.795544234756</v>
      </c>
      <c r="M67" s="5">
        <f>'sv23'!$AA$6+'sv23'!$Z$6*$B67+'sv23'!$Y$6*$B67^2+'sv23'!$X$6*$B67^3+'sv23'!$W$6*$B67^4+'sv23'!$V$6*$B67^5+'sv23'!$U$6*$B67^6+'sv23'!$T$6*$B67^7+'sv23'!$S$6*$B67^8</f>
        <v>370.05694303029111</v>
      </c>
      <c r="O67">
        <f>SQRT(($J67*1000-coord!$B$2)^2+($K67*1000-coord!$C$2)^2+($L67*1000-coord!$D$2)^2)/coord!$B$6</f>
        <v>7.0475302452046779E-2</v>
      </c>
      <c r="Q67" s="5">
        <f>'sv23'!$AA$3+'sv23'!$Z$3*($B67-$O67/3600)+'sv23'!$Y$3*($B67-$O67/3600)^2+'sv23'!$X$3*($B67-$O67/3600)^3+'sv23'!$W$3*($B67-$O67/3600)^4+'sv23'!$V$3*($B67-$O67/3600)^5+'sv23'!$U$3*($B67-$O67/3600)^6+'sv23'!$T$3*($B67-$O67/3600)^7+'sv23'!$S$3*($B67-$O67/3600)^8+K67*coord!$B$7*O67</f>
        <v>8969.7169289598751</v>
      </c>
      <c r="R67" s="5">
        <f>'sv23'!$AA$4+'sv23'!$Z$4*($B67-$O67/3600)+'sv23'!$Y$4*($B67-$O67/3600)^2+'sv23'!$X$4*($B67-$O67/3600)^3+'sv23'!$W$4*($B67-$O67/3600)^4+'sv23'!$V$4*($B67-$O67/3600)^5+'sv23'!$U$4*($B67-$O67/3600)^6+'sv23'!$T$4*($B67-$O67/3600)^7+'sv23'!$S$4*($B67-$O67/3600)^8-J67*coord!$B$7*O67</f>
        <v>12520.073764742339</v>
      </c>
      <c r="S67" s="5">
        <f>'sv23'!$AA$5+'sv23'!$Z$5*($B67-$O67/3600)+'sv23'!$Y$5*($B67-$O67/3600)^2+'sv23'!$X$5*($B67-$O67/3600)^3+'sv23'!$W$5*($B67-$O67/3600)^4+'sv23'!$V$5*($B67-$O67/3600)^5+'sv23'!$U$5*($B67-$O67/3600)^6+'sv23'!$T$5*($B67-$O67/3600)^7+'sv23'!$S$5*($B67-$O67/3600)^8</f>
        <v>21576.831486834806</v>
      </c>
      <c r="T67">
        <f>coord!$B$6*M67/10^6</f>
        <v>110940.28055101694</v>
      </c>
      <c r="U67">
        <f>SQRT(($Q67*1000+coord!$B$7*$O67*$R67*1000-coord!$B$2)^2+($R67*1000-coord!$B$7*$O67*$Q67*1000-coord!$C$2)^2+($S67*1000-coord!$D$2)^2)</f>
        <v>21127916.433407038</v>
      </c>
      <c r="V67" s="3">
        <f>$D67-(U67-$T67)-coord!$E$2</f>
        <v>0.11714397743344307</v>
      </c>
      <c r="W67" s="3"/>
      <c r="Y67">
        <f>-(Q67*1000-coord!$B$2)/$U67</f>
        <v>-0.21681450570851102</v>
      </c>
      <c r="Z67">
        <f>-(R67*1000-coord!$C$2)/$U67</f>
        <v>-0.54882380797416264</v>
      </c>
      <c r="AA67">
        <f>-(S67*1000-coord!$D$2)/$U67</f>
        <v>-0.80733200863878074</v>
      </c>
      <c r="AB67">
        <v>1</v>
      </c>
      <c r="AD67">
        <v>0.68027767325075672</v>
      </c>
      <c r="AE67">
        <v>-0.54882380797416264</v>
      </c>
      <c r="AF67">
        <v>0.78369210819599078</v>
      </c>
      <c r="AG67">
        <v>0.38285080868516141</v>
      </c>
      <c r="AH67">
        <v>-0.90117221797669034</v>
      </c>
      <c r="AI67">
        <v>-0.17865697690787299</v>
      </c>
      <c r="AJ67">
        <v>-0.24888172987440874</v>
      </c>
      <c r="AL67">
        <v>0.34406514496983248</v>
      </c>
      <c r="AM67">
        <v>2.4307051443984484</v>
      </c>
      <c r="AN67">
        <v>-0.49448839962664831</v>
      </c>
      <c r="AO67">
        <v>-3.0714142601225791E-2</v>
      </c>
      <c r="AQ67">
        <v>-3.300698586013566E-2</v>
      </c>
      <c r="AR67">
        <v>0.47991452584150518</v>
      </c>
      <c r="AS67">
        <v>0.30525098901908526</v>
      </c>
      <c r="AT67">
        <v>0.13775674841192215</v>
      </c>
      <c r="AV67">
        <v>-54.281109892594678</v>
      </c>
      <c r="AX67">
        <v>-20.337334747063114</v>
      </c>
      <c r="BA67">
        <f>SQRT(($Q67*1000+coord!$B$7*$O67*$R67*1000-coord!$B$2-AX$66)^2+($R67*1000-coord!$B$7*$O67*$Q67*1000-coord!$C$2-AX$67)^2+($S67*1000-coord!$D$2-AX$68)^2)</f>
        <v>21127913.409168765</v>
      </c>
      <c r="BB67" s="3">
        <f t="shared" ref="BB67:BB72" si="16">$D67-(BA67-$T67)-AX$69</f>
        <v>-2.7911417547778399</v>
      </c>
      <c r="BD67" s="1"/>
      <c r="BE67" s="1"/>
      <c r="BF67" s="1"/>
      <c r="BS67">
        <f>-SIN(RADIANS(BH66))*SIN(RADIANS(BI66))</f>
        <v>-0.14680043956676633</v>
      </c>
      <c r="BT67">
        <f>COS(RADIANS(BI66))</f>
        <v>0.97852398975959132</v>
      </c>
      <c r="BU67">
        <f>COS(RADIANS(BH66))*SIN(RADIANS(BI66))</f>
        <v>0.14470809378875596</v>
      </c>
      <c r="BW67" t="s">
        <v>94</v>
      </c>
      <c r="BX67">
        <v>-0.20613297034916858</v>
      </c>
      <c r="BY67">
        <v>0.97852398975959132</v>
      </c>
      <c r="BZ67">
        <v>-5.6729473995722969E-17</v>
      </c>
      <c r="CA67">
        <v>0</v>
      </c>
      <c r="CB67" s="1">
        <v>-21.639985649039843</v>
      </c>
      <c r="CD67" s="1"/>
      <c r="CE67" s="1"/>
      <c r="CF67" s="1"/>
      <c r="CH67">
        <v>-0.55043292955367862</v>
      </c>
      <c r="CI67">
        <v>0.47641170460763488</v>
      </c>
      <c r="CJ67">
        <v>-4.4524265904487253E-3</v>
      </c>
      <c r="CK67">
        <v>-0.25039673162688897</v>
      </c>
      <c r="CM67">
        <v>-0.14680043956676633</v>
      </c>
      <c r="CN67">
        <v>0.97852398975959132</v>
      </c>
      <c r="CO67">
        <v>0.14470809378875593</v>
      </c>
      <c r="CP67">
        <v>0</v>
      </c>
      <c r="CR67" s="5">
        <v>0.31051673472654517</v>
      </c>
      <c r="CS67" s="5">
        <v>0.57964265670772519</v>
      </c>
      <c r="CT67" s="5">
        <v>-0.31234291140718273</v>
      </c>
      <c r="CU67" s="5">
        <v>-0.25039673162688897</v>
      </c>
    </row>
    <row r="68" spans="1:108">
      <c r="A68">
        <v>16</v>
      </c>
      <c r="B68">
        <f t="shared" si="15"/>
        <v>0.3833333333333333</v>
      </c>
      <c r="C68">
        <v>10</v>
      </c>
      <c r="D68">
        <v>23064887.853</v>
      </c>
      <c r="E68">
        <v>121206807.68648</v>
      </c>
      <c r="F68">
        <v>3067.0079999999998</v>
      </c>
      <c r="G68">
        <v>23064888.465999998</v>
      </c>
      <c r="H68">
        <v>94446866.385450006</v>
      </c>
      <c r="J68" s="5">
        <f>'sv10'!$AA$3+'sv10'!$Z$3*($B68)+'sv10'!$Y$3*($B68)^2+'sv10'!$X$3*($B68)^3+'sv10'!$W$3*($B68)^4+'sv10'!$V$3*($B68)^5+'sv10'!$U$3*($B68)^6+'sv10'!$T$3*($B68)^7+'sv10'!$S$3*($B68)^8</f>
        <v>7671.3452090346645</v>
      </c>
      <c r="K68" s="5">
        <f>'sv10'!$AA$4+'sv10'!$Z$4*($B68)+'sv10'!$Y$4*($B68)^2+'sv10'!$X$4*($B68)^3+'sv10'!$W$4*($B68)^4+'sv10'!$V$4*($B68)^5+'sv10'!$U$4*($B68)^6+'sv10'!$T$4*($B68)^7+'sv10'!$S$4*($B68)^8</f>
        <v>-17140.898905476282</v>
      </c>
      <c r="L68" s="5">
        <f>'sv10'!$AA$5+'sv10'!$Z$5*($B68)+'sv10'!$Y$5*($B68)^2+'sv10'!$X$5*($B68)^3+'sv10'!$W$5*($B68)^4+'sv10'!$V$5*($B68)^5+'sv10'!$U$5*($B68)^6+'sv10'!$T$5*($B68)^7+'sv10'!$S$5*($B68)^8</f>
        <v>18457.149390322033</v>
      </c>
      <c r="M68" s="5">
        <f>'sv10'!$AA$6+'sv10'!$Z$6*$B68+'sv10'!$Y$6*$B68^2+'sv10'!$X$6*$B68^3+'sv10'!$W$6*$B68^4+'sv10'!$V$6*$B68^5+'sv10'!$U$6*$B68^6+'sv10'!$T$6*$B68^7+'sv10'!$S$6*$B68^8</f>
        <v>-43.001126002665956</v>
      </c>
      <c r="O68">
        <f>SQRT(($J68*1000-coord!$B$2)^2+($K68*1000-coord!$C$2)^2+($L68*1000-coord!$D$2)^2)/coord!$B$6</f>
        <v>7.6892954312315479E-2</v>
      </c>
      <c r="Q68" s="5">
        <f>'sv10'!$AA$3+'sv10'!$Z$3*($B68-$O68/3600)+'sv10'!$Y$3*($B68-$O68/3600)^2+'sv10'!$X$3*($B68-$O68/3600)^3+'sv10'!$W$3*($B68-$O68/3600)^4+'sv10'!$V$3*($B68-$O68/3600)^5+'sv10'!$U$3*($B68-$O68/3600)^6+'sv10'!$T$3*($B68-$O68/3600)^7+'sv10'!$S$3*($B68-$O68/3600)^8+K68*coord!$B$7*O68</f>
        <v>7671.1727101494671</v>
      </c>
      <c r="R68" s="5">
        <f>'sv10'!$AA$4+'sv10'!$Z$4*($B68-$O68/3600)+'sv10'!$Y$4*($B68-$O68/3600)^2+'sv10'!$X$4*($B68-$O68/3600)^3+'sv10'!$W$4*($B68-$O68/3600)^4+'sv10'!$V$4*($B68-$O68/3600)^5+'sv10'!$U$4*($B68-$O68/3600)^6+'sv10'!$T$4*($B68-$O68/3600)^7+'sv10'!$S$4*($B68-$O68/3600)^8-J68*coord!$B$7*O68</f>
        <v>-17141.110216855392</v>
      </c>
      <c r="S68" s="5">
        <f>'sv10'!$AA$5+'sv10'!$Z$5*($B68-$O68/3600)+'sv10'!$Y$5*($B68-$O68/3600)^2+'sv10'!$X$5*($B68-$O68/3600)^3+'sv10'!$W$5*($B68-$O68/3600)^4+'sv10'!$V$5*($B68-$O68/3600)^5+'sv10'!$U$5*($B68-$O68/3600)^6+'sv10'!$T$5*($B68-$O68/3600)^7+'sv10'!$S$5*($B68-$O68/3600)^8</f>
        <v>18457.023455174658</v>
      </c>
      <c r="T68">
        <f>coord!$B$6*M68/10^6</f>
        <v>-12891.413261106942</v>
      </c>
      <c r="U68">
        <f>SQRT(($Q68*1000+coord!$B$7*$O68*$R68*1000-coord!$B$2)^2+($R68*1000-coord!$B$7*$O68*$Q68*1000-coord!$C$2)^2+($S68*1000-coord!$D$2)^2)</f>
        <v>23052012.698764358</v>
      </c>
      <c r="V68" s="3">
        <f>$D68-(U68-$T68)-coord!$E$2</f>
        <v>-16.25902546569705</v>
      </c>
      <c r="W68" s="3"/>
      <c r="Y68">
        <f>-(Q68*1000-coord!$B$2)/$U68</f>
        <v>-0.14238646239880848</v>
      </c>
      <c r="Z68">
        <f>-(R68*1000-coord!$C$2)/$U68</f>
        <v>0.78369210819599078</v>
      </c>
      <c r="AA68">
        <f>-(S68*1000-coord!$D$2)/$U68</f>
        <v>-0.60460816862302602</v>
      </c>
      <c r="AB68">
        <v>1</v>
      </c>
      <c r="AD68">
        <v>-0.72492122024557071</v>
      </c>
      <c r="AE68">
        <v>-0.80733200863878074</v>
      </c>
      <c r="AF68">
        <v>-0.60460816862302602</v>
      </c>
      <c r="AG68">
        <v>-0.45456098286861307</v>
      </c>
      <c r="AH68">
        <v>-7.2557430784096211E-2</v>
      </c>
      <c r="AI68">
        <v>-0.83739312814693501</v>
      </c>
      <c r="AJ68">
        <v>4.6451305663043785E-2</v>
      </c>
      <c r="AL68">
        <v>1.1237997994376152</v>
      </c>
      <c r="AM68">
        <v>-0.49448839962664831</v>
      </c>
      <c r="AN68">
        <v>2.4581220280747242</v>
      </c>
      <c r="AO68">
        <v>-3.4549216336439779</v>
      </c>
      <c r="AQ68">
        <v>1.4706421865942305</v>
      </c>
      <c r="AR68">
        <v>0.30525098901908532</v>
      </c>
      <c r="AS68">
        <v>2.4083137614303869</v>
      </c>
      <c r="AT68">
        <v>1.8587088535519194</v>
      </c>
      <c r="AV68">
        <v>36.664807200168731</v>
      </c>
      <c r="AX68">
        <v>15.305039886261909</v>
      </c>
      <c r="BA68">
        <f>SQRT(($Q68*1000+coord!$B$7*$O68*$R68*1000-coord!$B$2-AX$66)^2+($R68*1000-coord!$B$7*$O68*$Q68*1000-coord!$C$2-AX$67)^2+($S68*1000-coord!$D$2-AX$68)^2)</f>
        <v>23051986.305498842</v>
      </c>
      <c r="BB68" s="3">
        <f t="shared" si="16"/>
        <v>4.201716044156143</v>
      </c>
      <c r="BD68" s="1"/>
      <c r="BE68" s="1"/>
      <c r="BF68" s="1"/>
      <c r="BS68">
        <f>COS(RADIANS(BH66))</f>
        <v>0.70201333412910594</v>
      </c>
      <c r="BT68">
        <v>0</v>
      </c>
      <c r="BU68">
        <f>SIN(RADIANS(BH66))</f>
        <v>0.71216380047355421</v>
      </c>
      <c r="BW68" t="s">
        <v>95</v>
      </c>
      <c r="BX68">
        <v>0.68693688857644575</v>
      </c>
      <c r="BY68">
        <v>0.14470809378875593</v>
      </c>
      <c r="BZ68">
        <v>0.71216380047355421</v>
      </c>
      <c r="CA68">
        <v>0</v>
      </c>
      <c r="CB68" s="1">
        <v>13.753310863336385</v>
      </c>
      <c r="CD68" s="1"/>
      <c r="CE68" s="1"/>
      <c r="CF68" s="1"/>
      <c r="CH68">
        <v>2.7692428740289659</v>
      </c>
      <c r="CI68">
        <v>0.26416250448615364</v>
      </c>
      <c r="CJ68">
        <v>2.7695245376894109</v>
      </c>
      <c r="CK68">
        <v>2.6272997560536568</v>
      </c>
      <c r="CM68">
        <v>0.70201333412910583</v>
      </c>
      <c r="CN68">
        <v>-5.6729473995722969E-17</v>
      </c>
      <c r="CO68">
        <v>0.71216380047355421</v>
      </c>
      <c r="CP68">
        <v>0</v>
      </c>
      <c r="CR68" s="5">
        <v>-2.4336535849269758E-2</v>
      </c>
      <c r="CS68" s="5">
        <v>-0.3123429114071824</v>
      </c>
      <c r="CT68" s="5">
        <v>3.9128766563382609</v>
      </c>
      <c r="CU68" s="5">
        <v>2.6272997560536568</v>
      </c>
    </row>
    <row r="69" spans="1:108">
      <c r="A69">
        <v>16</v>
      </c>
      <c r="B69">
        <f t="shared" si="15"/>
        <v>0.3833333333333333</v>
      </c>
      <c r="C69">
        <v>4</v>
      </c>
      <c r="D69">
        <v>21112331.344999999</v>
      </c>
      <c r="E69">
        <v>110946049.63649</v>
      </c>
      <c r="F69">
        <v>-811.32799999999997</v>
      </c>
      <c r="G69">
        <v>21112331.261999998</v>
      </c>
      <c r="H69">
        <v>86451464.165480003</v>
      </c>
      <c r="J69" s="5">
        <f>'sv04'!$AA$3+'sv04'!$Z$3*($B69)+'sv04'!$Y$3*($B69)^2+'sv04'!$X$3*($B69)^3+'sv04'!$W$3*($B69)^4+'sv04'!$V$3*($B69)^5+'sv04'!$U$3*($B69)^6+'sv04'!$T$3*($B69)^7+'sv04'!$S$3*($B69)^8</f>
        <v>21389.261605623113</v>
      </c>
      <c r="K69" s="5">
        <f>'sv04'!$AA$4+'sv04'!$Z$4*($B69)+'sv04'!$Y$4*($B69)^2+'sv04'!$X$4*($B69)^3+'sv04'!$W$4*($B69)^4+'sv04'!$V$4*($B69)^5+'sv04'!$U$4*($B69)^6+'sv04'!$T$4*($B69)^7+'sv04'!$S$4*($B69)^8</f>
        <v>-7168.1002760591582</v>
      </c>
      <c r="L69" s="5">
        <f>'sv04'!$AA$5+'sv04'!$Z$5*($B69)+'sv04'!$Y$5*($B69)^2+'sv04'!$X$5*($B69)^3+'sv04'!$W$5*($B69)^4+'sv04'!$V$5*($B69)^5+'sv04'!$U$5*($B69)^6+'sv04'!$T$5*($B69)^7+'sv04'!$S$5*($B69)^8</f>
        <v>14128.072240157895</v>
      </c>
      <c r="M69" s="5">
        <f>'sv04'!$AA$6+'sv04'!$Z$6*$B69+'sv04'!$Y$6*$B69^2+'sv04'!$X$6*$B69^3+'sv04'!$W$6*$B69^4+'sv04'!$V$6*$B69^5+'sv04'!$U$6*$B69^6+'sv04'!$T$6*$B69^7+'sv04'!$S$6*$B69^8</f>
        <v>86.59882061521806</v>
      </c>
      <c r="O69">
        <f>SQRT(($J69*1000-coord!$B$2)^2+($K69*1000-coord!$C$2)^2+($L69*1000-coord!$D$2)^2)/coord!$B$6</f>
        <v>7.0509746771175164E-2</v>
      </c>
      <c r="Q69" s="5">
        <f>'sv04'!$AA$3+'sv04'!$Z$3*($B69-$O69/3600)+'sv04'!$Y$3*($B69-$O69/3600)^2+'sv04'!$X$3*($B69-$O69/3600)^3+'sv04'!$W$3*($B69-$O69/3600)^4+'sv04'!$V$3*($B69-$O69/3600)^5+'sv04'!$U$3*($B69-$O69/3600)^6+'sv04'!$T$3*($B69-$O69/3600)^7+'sv04'!$S$3*($B69-$O69/3600)^8+K69*coord!$B$7*O69</f>
        <v>21389.10092729966</v>
      </c>
      <c r="R69" s="5">
        <f>'sv04'!$AA$4+'sv04'!$Z$4*($B69-$O69/3600)+'sv04'!$Y$4*($B69-$O69/3600)^2+'sv04'!$X$4*($B69-$O69/3600)^3+'sv04'!$W$4*($B69-$O69/3600)^4+'sv04'!$V$4*($B69-$O69/3600)^5+'sv04'!$U$4*($B69-$O69/3600)^6+'sv04'!$T$4*($B69-$O69/3600)^7+'sv04'!$S$4*($B69-$O69/3600)^8-J69*coord!$B$7*O69</f>
        <v>-7168.2466956446169</v>
      </c>
      <c r="S69" s="5">
        <f>'sv04'!$AA$5+'sv04'!$Z$5*($B69-$O69/3600)+'sv04'!$Y$5*($B69-$O69/3600)^2+'sv04'!$X$5*($B69-$O69/3600)^3+'sv04'!$W$5*($B69-$O69/3600)^4+'sv04'!$V$5*($B69-$O69/3600)^5+'sv04'!$U$5*($B69-$O69/3600)^6+'sv04'!$T$5*($B69-$O69/3600)^7+'sv04'!$S$5*($B69-$O69/3600)^8</f>
        <v>14128.236668942189</v>
      </c>
      <c r="T69">
        <f>coord!$B$6*M69/10^6</f>
        <v>25961.673292137293</v>
      </c>
      <c r="U69">
        <f>SQRT(($Q69*1000+coord!$B$7*$O69*$R69*1000-coord!$B$2)^2+($R69*1000-coord!$B$7*$O69*$Q69*1000-coord!$C$2)^2+($S69*1000-coord!$D$2)^2)</f>
        <v>21138304.334887199</v>
      </c>
      <c r="V69" s="3">
        <f>$D69-(U69-$T69)-coord!$E$2</f>
        <v>-11.316595062613487</v>
      </c>
      <c r="W69" s="3"/>
      <c r="Y69">
        <f>-(Q69*1000-coord!$B$2)/$U69</f>
        <v>-0.80423777078665937</v>
      </c>
      <c r="Z69">
        <f>-(R69*1000-coord!$C$2)/$U69</f>
        <v>0.38285080868516141</v>
      </c>
      <c r="AA69">
        <f>-(S69*1000-coord!$D$2)/$U69</f>
        <v>-0.45456098286861307</v>
      </c>
      <c r="AB69">
        <v>1</v>
      </c>
      <c r="AD69">
        <v>1</v>
      </c>
      <c r="AE69">
        <v>1</v>
      </c>
      <c r="AF69">
        <v>1</v>
      </c>
      <c r="AG69">
        <v>1</v>
      </c>
      <c r="AH69">
        <v>1</v>
      </c>
      <c r="AI69">
        <v>1</v>
      </c>
      <c r="AJ69">
        <v>1</v>
      </c>
      <c r="AL69">
        <v>-3.182997999214038</v>
      </c>
      <c r="AM69">
        <v>-3.0714142601225791E-2</v>
      </c>
      <c r="AN69">
        <v>-3.4549216336439779</v>
      </c>
      <c r="AO69">
        <v>7</v>
      </c>
      <c r="AQ69">
        <v>1.8686725080745177</v>
      </c>
      <c r="AR69">
        <v>0.1377567484119224</v>
      </c>
      <c r="AS69">
        <v>1.8587088535519198</v>
      </c>
      <c r="AT69">
        <v>1.9105579090835139</v>
      </c>
      <c r="AV69">
        <v>-37.584553305059671</v>
      </c>
      <c r="AX69">
        <v>5.9325240057126791</v>
      </c>
      <c r="BA69">
        <f>SQRT(($Q69*1000+coord!$B$7*$O69*$R69*1000-coord!$B$2-AX$66)^2+($R69*1000-coord!$B$7*$O69*$Q69*1000-coord!$C$2-AX$67)^2+($S69*1000-coord!$D$2-AX$68)^2)</f>
        <v>21138282.805148449</v>
      </c>
      <c r="BB69" s="3">
        <f t="shared" si="16"/>
        <v>4.2806196819825857</v>
      </c>
      <c r="BD69" s="1"/>
      <c r="BE69" s="1"/>
      <c r="BF69" s="1"/>
      <c r="BX69">
        <v>0</v>
      </c>
      <c r="BY69">
        <v>0</v>
      </c>
      <c r="BZ69">
        <v>0</v>
      </c>
      <c r="CA69">
        <v>1</v>
      </c>
      <c r="CD69" s="1"/>
      <c r="CE69" s="1"/>
      <c r="CF69" s="1"/>
      <c r="CH69">
        <v>1.8686725080745177</v>
      </c>
      <c r="CI69">
        <v>0.1377567484119224</v>
      </c>
      <c r="CJ69">
        <v>1.8587088535519198</v>
      </c>
      <c r="CK69">
        <v>1.9105579090835139</v>
      </c>
      <c r="CM69">
        <v>0</v>
      </c>
      <c r="CN69">
        <v>0</v>
      </c>
      <c r="CO69">
        <v>0</v>
      </c>
      <c r="CP69">
        <v>1</v>
      </c>
      <c r="CR69" s="5">
        <v>-1.760497287110141E-2</v>
      </c>
      <c r="CS69" s="5">
        <v>-0.25039673162688864</v>
      </c>
      <c r="CT69" s="5">
        <v>2.6272997560536573</v>
      </c>
      <c r="CU69" s="5">
        <v>1.9105579090835139</v>
      </c>
    </row>
    <row r="70" spans="1:108">
      <c r="A70">
        <v>16</v>
      </c>
      <c r="B70">
        <f t="shared" si="15"/>
        <v>0.3833333333333333</v>
      </c>
      <c r="C70">
        <v>20</v>
      </c>
      <c r="D70">
        <v>22904391.662999999</v>
      </c>
      <c r="E70">
        <v>120363394.38648</v>
      </c>
      <c r="F70">
        <v>-3004.4839999999999</v>
      </c>
      <c r="G70">
        <v>22904392.309999999</v>
      </c>
      <c r="H70">
        <v>93789652.613460004</v>
      </c>
      <c r="J70" s="5">
        <f>'sv20'!$AA$3+'sv20'!$Z$3*($B70)+'sv20'!$Y$3*($B70)^2+'sv20'!$X$3*($B70)^3+'sv20'!$W$3*($B70)^4+'sv20'!$V$3*($B70)^5+'sv20'!$U$3*($B70)^6+'sv20'!$T$3*($B70)^7+'sv20'!$S$3*($B70)^8</f>
        <v>14184.031171995442</v>
      </c>
      <c r="K70" s="5">
        <f>'sv20'!$AA$4+'sv20'!$Z$4*($B70)+'sv20'!$Y$4*($B70)^2+'sv20'!$X$4*($B70)^3+'sv20'!$W$4*($B70)^4+'sv20'!$V$4*($B70)^5+'sv20'!$U$4*($B70)^6+'sv20'!$T$4*($B70)^7+'sv20'!$S$4*($B70)^8</f>
        <v>21580.576245841672</v>
      </c>
      <c r="L70" s="5">
        <f>'sv20'!$AA$5+'sv20'!$Z$5*($B70)+'sv20'!$Y$5*($B70)^2+'sv20'!$X$5*($B70)^3+'sv20'!$W$5*($B70)^4+'sv20'!$V$5*($B70)^5+'sv20'!$U$5*($B70)^6+'sv20'!$T$5*($B70)^7+'sv20'!$S$5*($B70)^8</f>
        <v>6182.4561850789032</v>
      </c>
      <c r="M70" s="5">
        <f>'sv20'!$AA$6+'sv20'!$Z$6*$B70+'sv20'!$Y$6*$B70^2+'sv20'!$X$6*$B70^3+'sv20'!$W$6*$B70^4+'sv20'!$V$6*$B70^5+'sv20'!$U$6*$B70^6+'sv20'!$T$6*$B70^7+'sv20'!$S$6*$B70^8</f>
        <v>55.81791090364451</v>
      </c>
      <c r="O70">
        <f>SQRT(($J70*1000-coord!$B$2)^2+($K70*1000-coord!$C$2)^2+($L70*1000-coord!$D$2)^2)/coord!$B$6</f>
        <v>7.6456844476087416E-2</v>
      </c>
      <c r="Q70" s="5">
        <f>'sv20'!$AA$3+'sv20'!$Z$3*($B70-$O70/3600)+'sv20'!$Y$3*($B70-$O70/3600)^2+'sv20'!$X$3*($B70-$O70/3600)^3+'sv20'!$W$3*($B70-$O70/3600)^4+'sv20'!$V$3*($B70-$O70/3600)^5+'sv20'!$U$3*($B70-$O70/3600)^6+'sv20'!$T$3*($B70-$O70/3600)^7+'sv20'!$S$3*($B70-$O70/3600)^8+K70*coord!$B$7*O70</f>
        <v>14184.151062504898</v>
      </c>
      <c r="R70" s="5">
        <f>'sv20'!$AA$4+'sv20'!$Z$4*($B70-$O70/3600)+'sv20'!$Y$4*($B70-$O70/3600)^2+'sv20'!$X$4*($B70-$O70/3600)^3+'sv20'!$W$4*($B70-$O70/3600)^4+'sv20'!$V$4*($B70-$O70/3600)^5+'sv20'!$U$4*($B70-$O70/3600)^6+'sv20'!$T$4*($B70-$O70/3600)^7+'sv20'!$S$4*($B70-$O70/3600)^8-J70*coord!$B$7*O70</f>
        <v>21580.430471301206</v>
      </c>
      <c r="S70" s="5">
        <f>'sv20'!$AA$5+'sv20'!$Z$5*($B70-$O70/3600)+'sv20'!$Y$5*($B70-$O70/3600)^2+'sv20'!$X$5*($B70-$O70/3600)^3+'sv20'!$W$5*($B70-$O70/3600)^4+'sv20'!$V$5*($B70-$O70/3600)^5+'sv20'!$U$5*($B70-$O70/3600)^6+'sv20'!$T$5*($B70-$O70/3600)^7+'sv20'!$S$5*($B70-$O70/3600)^8</f>
        <v>6182.6845405476433</v>
      </c>
      <c r="T70">
        <f>coord!$B$6*M70/10^6</f>
        <v>16733.788710228589</v>
      </c>
      <c r="U70">
        <f>SQRT(($Q70*1000+coord!$B$7*$O70*$R70*1000-coord!$B$2)^2+($R70*1000-coord!$B$7*$O70*$Q70*1000-coord!$C$2)^2+($S70*1000-coord!$D$2)^2)</f>
        <v>22921101.922646586</v>
      </c>
      <c r="V70" s="3">
        <f>$D70-(U70-$T70)-coord!$E$2</f>
        <v>23.529063642024994</v>
      </c>
      <c r="W70" s="3"/>
      <c r="Y70">
        <f>-(Q70*1000-coord!$B$2)/$U70</f>
        <v>-0.42734738167308339</v>
      </c>
      <c r="Z70">
        <f>-(R70*1000-coord!$C$2)/$U70</f>
        <v>-0.90117221797669034</v>
      </c>
      <c r="AA70">
        <f>-(S70*1000-coord!$D$2)/$U70</f>
        <v>-7.2557430784096211E-2</v>
      </c>
      <c r="AB70">
        <v>1</v>
      </c>
      <c r="BA70">
        <f>SQRT(($Q70*1000+coord!$B$7*$O70*$R70*1000-coord!$B$2-AX$66)^2+($R70*1000-coord!$B$7*$O70*$Q70*1000-coord!$C$2-AX$67)^2+($S70*1000-coord!$D$2-AX$68)^2)</f>
        <v>22921115.53339703</v>
      </c>
      <c r="BB70" s="3">
        <f t="shared" si="16"/>
        <v>3.9857891920788973</v>
      </c>
      <c r="BD70" s="1"/>
      <c r="BE70" s="1"/>
      <c r="BF70" s="1"/>
      <c r="CD70" s="1"/>
      <c r="CE70" s="1"/>
      <c r="CF70" s="1"/>
    </row>
    <row r="71" spans="1:108">
      <c r="A71">
        <v>16</v>
      </c>
      <c r="B71">
        <f t="shared" si="15"/>
        <v>0.3833333333333333</v>
      </c>
      <c r="C71">
        <v>13</v>
      </c>
      <c r="D71">
        <v>20106941.743999999</v>
      </c>
      <c r="E71">
        <v>105662692.05949</v>
      </c>
      <c r="F71">
        <v>-578.84799999999996</v>
      </c>
      <c r="G71">
        <v>20106939.743000001</v>
      </c>
      <c r="H71">
        <v>82334557.306480005</v>
      </c>
      <c r="J71" s="5">
        <f>'sv13'!$AA$3+'sv13'!$Z$3*($B71)+'sv13'!$Y$3*($B71)^2+'sv13'!$X$3*($B71)^3+'sv13'!$W$3*($B71)^4+'sv13'!$V$3*($B71)^5+'sv13'!$U$3*($B71)^6+'sv13'!$T$3*($B71)^7+'sv13'!$S$3*($B71)^8</f>
        <v>14822.687456989543</v>
      </c>
      <c r="K71" s="5">
        <f>'sv13'!$AA$4+'sv13'!$Z$4*($B71)+'sv13'!$Y$4*($B71)^2+'sv13'!$X$4*($B71)^3+'sv13'!$W$4*($B71)^4+'sv13'!$V$4*($B71)^5+'sv13'!$U$4*($B71)^6+'sv13'!$T$4*($B71)^7+'sv13'!$S$4*($B71)^8</f>
        <v>4533.3218634958021</v>
      </c>
      <c r="L71" s="5">
        <f>'sv13'!$AA$5+'sv13'!$Z$5*($B71)+'sv13'!$Y$5*($B71)^2+'sv13'!$X$5*($B71)^3+'sv13'!$W$5*($B71)^4+'sv13'!$V$5*($B71)^5+'sv13'!$U$5*($B71)^6+'sv13'!$T$5*($B71)^7+'sv13'!$S$5*($B71)^8</f>
        <v>21433.435715049724</v>
      </c>
      <c r="M71" s="5">
        <f>'sv13'!$AA$6+'sv13'!$Z$6*$B71+'sv13'!$Y$6*$B71^2+'sv13'!$X$6*$B71^3+'sv13'!$W$6*$B71^4+'sv13'!$V$6*$B71^5+'sv13'!$U$6*$B71^6+'sv13'!$T$6*$B71^7+'sv13'!$S$6*$B71^8</f>
        <v>304.21955504430059</v>
      </c>
      <c r="O71">
        <f>SQRT(($J71*1000-coord!$B$2)^2+($K71*1000-coord!$C$2)^2+($L71*1000-coord!$D$2)^2)/coord!$B$6</f>
        <v>6.7373812339037303E-2</v>
      </c>
      <c r="Q71" s="5">
        <f>'sv13'!$AA$3+'sv13'!$Z$3*($B71-$O71/3600)+'sv13'!$Y$3*($B71-$O71/3600)^2+'sv13'!$X$3*($B71-$O71/3600)^3+'sv13'!$W$3*($B71-$O71/3600)^4+'sv13'!$V$3*($B71-$O71/3600)^5+'sv13'!$U$3*($B71-$O71/3600)^6+'sv13'!$T$3*($B71-$O71/3600)^7+'sv13'!$S$3*($B71-$O71/3600)^8+K71*coord!$B$7*O71</f>
        <v>14822.832555215247</v>
      </c>
      <c r="R71" s="5">
        <f>'sv13'!$AA$4+'sv13'!$Z$4*($B71-$O71/3600)+'sv13'!$Y$4*($B71-$O71/3600)^2+'sv13'!$X$4*($B71-$O71/3600)^3+'sv13'!$W$4*($B71-$O71/3600)^4+'sv13'!$V$4*($B71-$O71/3600)^5+'sv13'!$U$4*($B71-$O71/3600)^6+'sv13'!$T$4*($B71-$O71/3600)^7+'sv13'!$S$4*($B71-$O71/3600)^8-J71*coord!$B$7*O71</f>
        <v>4533.1106976533283</v>
      </c>
      <c r="S71" s="5">
        <f>'sv13'!$AA$5+'sv13'!$Z$5*($B71-$O71/3600)+'sv13'!$Y$5*($B71-$O71/3600)^2+'sv13'!$X$5*($B71-$O71/3600)^3+'sv13'!$W$5*($B71-$O71/3600)^4+'sv13'!$V$5*($B71-$O71/3600)^5+'sv13'!$U$5*($B71-$O71/3600)^6+'sv13'!$T$5*($B71-$O71/3600)^7+'sv13'!$S$5*($B71-$O71/3600)^8</f>
        <v>21433.380596440576</v>
      </c>
      <c r="T71">
        <f>coord!$B$6*M71/10^6</f>
        <v>91202.72817839717</v>
      </c>
      <c r="U71">
        <f>SQRT(($Q71*1000+coord!$B$7*$O71*$R71*1000-coord!$B$2)^2+($R71*1000-coord!$B$7*$O71*$Q71*1000-coord!$C$2)^2+($S71*1000-coord!$D$2)^2)</f>
        <v>20198150.371222965</v>
      </c>
      <c r="V71" s="3">
        <f>$D71-(U71-$T71)-coord!$E$2</f>
        <v>-5.8990445695817471</v>
      </c>
      <c r="W71" s="3"/>
      <c r="Y71">
        <f>-(Q71*1000-coord!$B$2)/$U71</f>
        <v>-0.51657969629144251</v>
      </c>
      <c r="Z71">
        <f>-(R71*1000-coord!$C$2)/$U71</f>
        <v>-0.17865697690787299</v>
      </c>
      <c r="AA71">
        <f>-(S71*1000-coord!$D$2)/$U71</f>
        <v>-0.83739312814693501</v>
      </c>
      <c r="AB71">
        <v>1</v>
      </c>
      <c r="BA71">
        <f>SQRT(($Q71*1000+coord!$B$7*$O71*$R71*1000-coord!$B$2-AX$66)^2+($R71*1000-coord!$B$7*$O71*$Q71*1000-coord!$C$2-AX$67)^2+($S71*1000-coord!$D$2-AX$68)^2)</f>
        <v>20198136.82916097</v>
      </c>
      <c r="BB71" s="3">
        <f t="shared" si="16"/>
        <v>1.7104934204204767</v>
      </c>
      <c r="BD71" s="1"/>
      <c r="BE71" s="1"/>
      <c r="BF71" s="1"/>
      <c r="CD71" s="1"/>
      <c r="CE71" s="1"/>
      <c r="CF71" s="1"/>
    </row>
    <row r="72" spans="1:108">
      <c r="A72">
        <v>16</v>
      </c>
      <c r="B72">
        <f t="shared" si="15"/>
        <v>0.3833333333333333</v>
      </c>
      <c r="C72">
        <v>7</v>
      </c>
      <c r="D72">
        <v>21962166.129999999</v>
      </c>
      <c r="E72">
        <v>115411967.07648</v>
      </c>
      <c r="F72">
        <v>2965.319</v>
      </c>
      <c r="G72">
        <v>21962165.305</v>
      </c>
      <c r="H72">
        <v>89931403.317469999</v>
      </c>
      <c r="J72" s="5">
        <f>'sv07'!$AA$3+'sv07'!$Z$3*($B72)+'sv07'!$Y$3*($B72)^2+'sv07'!$X$3*($B72)^3+'sv07'!$W$3*($B72)^4+'sv07'!$V$3*($B72)^5+'sv07'!$U$3*($B72)^6+'sv07'!$T$3*($B72)^7+'sv07'!$S$3*($B72)^8</f>
        <v>25635.2515245797</v>
      </c>
      <c r="K72" s="5">
        <f>'sv07'!$AA$4+'sv07'!$Z$4*($B72)+'sv07'!$Y$4*($B72)^2+'sv07'!$X$4*($B72)^3+'sv07'!$W$4*($B72)^4+'sv07'!$V$4*($B72)^5+'sv07'!$U$4*($B72)^6+'sv07'!$T$4*($B72)^7+'sv07'!$S$4*($B72)^8</f>
        <v>6390.6536838639304</v>
      </c>
      <c r="L72" s="5">
        <f>'sv07'!$AA$5+'sv07'!$Z$5*($B72)+'sv07'!$Y$5*($B72)^2+'sv07'!$X$5*($B72)^3+'sv07'!$W$5*($B72)^4+'sv07'!$V$5*($B72)^5+'sv07'!$U$5*($B72)^6+'sv07'!$T$5*($B72)^7+'sv07'!$S$5*($B72)^8</f>
        <v>3499.6563519214501</v>
      </c>
      <c r="M72" s="5">
        <f>'sv07'!$AA$6+'sv07'!$Z$6*$B72+'sv07'!$Y$6*$B72^2+'sv07'!$X$6*$B72^3+'sv07'!$W$6*$B72^4+'sv07'!$V$6*$B72^5+'sv07'!$U$6*$B72^6+'sv07'!$T$6*$B72^7+'sv07'!$S$6*$B72^8</f>
        <v>-0.63770615242427109</v>
      </c>
      <c r="O72">
        <f>SQRT(($J72*1000-coord!$B$2)^2+($K72*1000-coord!$C$2)^2+($L72*1000-coord!$D$2)^2)/coord!$B$6</f>
        <v>7.3257138988413115E-2</v>
      </c>
      <c r="Q72" s="5">
        <f>'sv07'!$AA$3+'sv07'!$Z$3*($B72-$O72/3600)+'sv07'!$Y$3*($B72-$O72/3600)^2+'sv07'!$X$3*($B72-$O72/3600)^3+'sv07'!$W$3*($B72-$O72/3600)^4+'sv07'!$V$3*($B72-$O72/3600)^5+'sv07'!$U$3*($B72-$O72/3600)^6+'sv07'!$T$3*($B72-$O72/3600)^7+'sv07'!$S$3*($B72-$O72/3600)^8+K72*coord!$B$7*O72</f>
        <v>25635.320330032326</v>
      </c>
      <c r="R72" s="5">
        <f>'sv07'!$AA$4+'sv07'!$Z$4*($B72-$O72/3600)+'sv07'!$Y$4*($B72-$O72/3600)^2+'sv07'!$X$4*($B72-$O72/3600)^3+'sv07'!$W$4*($B72-$O72/3600)^4+'sv07'!$V$4*($B72-$O72/3600)^5+'sv07'!$U$4*($B72-$O72/3600)^6+'sv07'!$T$4*($B72-$O72/3600)^7+'sv07'!$S$4*($B72-$O72/3600)^8-J72*coord!$B$7*O72</f>
        <v>6390.5050364568497</v>
      </c>
      <c r="S72" s="5">
        <f>'sv07'!$AA$5+'sv07'!$Z$5*($B72-$O72/3600)+'sv07'!$Y$5*($B72-$O72/3600)^2+'sv07'!$X$5*($B72-$O72/3600)^3+'sv07'!$W$5*($B72-$O72/3600)^4+'sv07'!$V$5*($B72-$O72/3600)^5+'sv07'!$U$5*($B72-$O72/3600)^6+'sv07'!$T$5*($B72-$O72/3600)^7+'sv07'!$S$5*($B72-$O72/3600)^8</f>
        <v>3499.4257684483141</v>
      </c>
      <c r="T72">
        <f>coord!$B$6*M72/10^6</f>
        <v>-191.17949491699491</v>
      </c>
      <c r="U72">
        <f>SQRT(($Q72*1000+coord!$B$7*$O72*$R72*1000-coord!$B$2)^2+($R72*1000-coord!$B$7*$O72*$Q72*1000-coord!$C$2)^2+($S72*1000-coord!$D$2)^2)</f>
        <v>21961976.984068222</v>
      </c>
      <c r="V72" s="3">
        <f>$D72-(U72-$T72)-coord!$E$2</f>
        <v>-2.0335631407797337</v>
      </c>
      <c r="W72" s="3" t="s">
        <v>127</v>
      </c>
      <c r="X72" s="1" t="s">
        <v>128</v>
      </c>
      <c r="Y72">
        <f>-(Q72*1000-coord!$B$2)/$U72</f>
        <v>-0.9674193800788079</v>
      </c>
      <c r="Z72">
        <f>-(R72*1000-coord!$C$2)/$U72</f>
        <v>-0.24888172987440874</v>
      </c>
      <c r="AA72">
        <f>-(S72*1000-coord!$D$2)/$U72</f>
        <v>4.6451305663043785E-2</v>
      </c>
      <c r="AB72">
        <v>1</v>
      </c>
      <c r="BA72">
        <f>SQRT(($Q72*1000+coord!$B$7*$O72*$R72*1000-coord!$B$2-AX$66)^2+($R72*1000-coord!$B$7*$O72*$Q72*1000-coord!$C$2-AX$67)^2+($S72*1000-coord!$D$2-AX$68)^2)</f>
        <v>21961974.593081567</v>
      </c>
      <c r="BB72" s="3">
        <f t="shared" si="16"/>
        <v>-5.5751004915849478</v>
      </c>
      <c r="BC72" s="3" t="s">
        <v>127</v>
      </c>
      <c r="BD72" s="1" t="s">
        <v>128</v>
      </c>
      <c r="BE72" s="1"/>
      <c r="BF72" s="1"/>
      <c r="CD72" s="1"/>
      <c r="CE72" s="1"/>
      <c r="CF72" s="1"/>
    </row>
    <row r="73" spans="1:108">
      <c r="V73" s="3"/>
      <c r="W73" s="3">
        <f>AVERAGE($V66:$V72)</f>
        <v>-5.3692219007228106</v>
      </c>
      <c r="X73" s="1">
        <f>SQRT(DEVSQ($V66:$V72)/6)</f>
        <v>15.51791855892581</v>
      </c>
      <c r="BB73" s="3"/>
      <c r="BC73" s="3">
        <f>AVERAGE($BB66:$BB72)</f>
        <v>6.2763195480946312E-5</v>
      </c>
      <c r="BD73" s="1">
        <f>SQRT(DEVSQ($BB66:$BB72)/6)</f>
        <v>4.6087100933335998</v>
      </c>
      <c r="BE73" s="1"/>
      <c r="BF73" s="1"/>
      <c r="CD73" s="1"/>
      <c r="CE73" s="1"/>
      <c r="CF73" s="1"/>
    </row>
    <row r="74" spans="1:108">
      <c r="A74">
        <v>18</v>
      </c>
      <c r="B74">
        <f t="shared" ref="B74:B80" si="17">(60-45)/60+30*A74/3600</f>
        <v>0.4</v>
      </c>
      <c r="C74">
        <v>2</v>
      </c>
      <c r="D74">
        <v>22677839.59</v>
      </c>
      <c r="E74">
        <v>119172853.52048001</v>
      </c>
      <c r="F74">
        <v>2344.8519999999999</v>
      </c>
      <c r="G74">
        <v>22677836.353999998</v>
      </c>
      <c r="H74">
        <v>92861953.093459994</v>
      </c>
      <c r="J74" s="5">
        <f>'sv02'!$AA$3+'sv02'!$Z$3*($B74)+'sv02'!$Y$3*($B74)^2+'sv02'!$X$3*($B74)^3+'sv02'!$W$3*($B74)^4+'sv02'!$V$3*($B74)^5+'sv02'!$U$3*($B74)^6+'sv02'!$T$3*($B74)^7+'sv02'!$S$3*($B74)^8</f>
        <v>7013.7229951315603</v>
      </c>
      <c r="K74" s="5">
        <f>'sv02'!$AA$4+'sv02'!$Z$4*($B74)+'sv02'!$Y$4*($B74)^2+'sv02'!$X$4*($B74)^3+'sv02'!$W$4*($B74)^4+'sv02'!$V$4*($B74)^5+'sv02'!$U$4*($B74)^6+'sv02'!$T$4*($B74)^7+'sv02'!$S$4*($B74)^8</f>
        <v>-14546.928485119051</v>
      </c>
      <c r="L74" s="5">
        <f>'sv02'!$AA$5+'sv02'!$Z$5*($B74)+'sv02'!$Y$5*($B74)^2+'sv02'!$X$5*($B74)^3+'sv02'!$W$5*($B74)^4+'sv02'!$V$5*($B74)^5+'sv02'!$U$5*($B74)^6+'sv02'!$T$5*($B74)^7+'sv02'!$S$5*($B74)^8</f>
        <v>20997.874833604405</v>
      </c>
      <c r="M74" s="5">
        <f>'sv02'!$AA$6+'sv02'!$Z$6*$B74+'sv02'!$Y$6*$B74^2+'sv02'!$X$6*$B74^3+'sv02'!$W$6*$B74^4+'sv02'!$V$6*$B74^5+'sv02'!$U$6*$B74^6+'sv02'!$T$6*$B74^7+'sv02'!$S$6*$B74^8</f>
        <v>257.59154093921671</v>
      </c>
      <c r="O74">
        <f>SQRT(($J74*1000-coord!$B$2)^2+($K74*1000-coord!$C$2)^2+($L74*1000-coord!$D$2)^2)/coord!$B$6</f>
        <v>7.5902582076216946E-2</v>
      </c>
      <c r="Q74" s="5">
        <f>'sv02'!$AA$3+'sv02'!$Z$3*($B74-$O74/3600)+'sv02'!$Y$3*($B74-$O74/3600)^2+'sv02'!$X$3*($B74-$O74/3600)^3+'sv02'!$W$3*($B74-$O74/3600)^4+'sv02'!$V$3*($B74-$O74/3600)^5+'sv02'!$U$3*($B74-$O74/3600)^6+'sv02'!$T$3*($B74-$O74/3600)^7+'sv02'!$S$3*($B74-$O74/3600)^8+K74*coord!$B$7*O74</f>
        <v>7013.4411256071007</v>
      </c>
      <c r="R74" s="5">
        <f>'sv02'!$AA$4+'sv02'!$Z$4*($B74-$O74/3600)+'sv02'!$Y$4*($B74-$O74/3600)^2+'sv02'!$X$4*($B74-$O74/3600)^3+'sv02'!$W$4*($B74-$O74/3600)^4+'sv02'!$V$4*($B74-$O74/3600)^5+'sv02'!$U$4*($B74-$O74/3600)^6+'sv02'!$T$4*($B74-$O74/3600)^7+'sv02'!$S$4*($B74-$O74/3600)^8-J74*coord!$B$7*O74</f>
        <v>-14547.000538645354</v>
      </c>
      <c r="S74" s="5">
        <f>'sv02'!$AA$5+'sv02'!$Z$5*($B74-$O74/3600)+'sv02'!$Y$5*($B74-$O74/3600)^2+'sv02'!$X$5*($B74-$O74/3600)^3+'sv02'!$W$5*($B74-$O74/3600)^4+'sv02'!$V$5*($B74-$O74/3600)^5+'sv02'!$U$5*($B74-$O74/3600)^6+'sv02'!$T$5*($B74-$O74/3600)^7+'sv02'!$S$5*($B74-$O74/3600)^8</f>
        <v>20997.922480071833</v>
      </c>
      <c r="T74">
        <f>coord!$B$6*M74/10^6</f>
        <v>77224.001218175399</v>
      </c>
      <c r="U74">
        <f>SQRT(($Q74*1000+coord!$B$7*$O74*$R74*1000-coord!$B$2)^2+($R74*1000-coord!$B$7*$O74*$Q74*1000-coord!$C$2)^2+($S74*1000-coord!$D$2)^2)</f>
        <v>22755089.737715062</v>
      </c>
      <c r="V74" s="3">
        <f>$D74-(U74-$T74)-coord!$E$2</f>
        <v>-26.146496888250113</v>
      </c>
      <c r="W74" s="3"/>
      <c r="Y74">
        <f>-(Q74*1000-coord!$B$2)/$U74</f>
        <v>-0.115339600285428</v>
      </c>
      <c r="Z74">
        <f>-(R74*1000-coord!$C$2)/$U74</f>
        <v>0.67991692980240126</v>
      </c>
      <c r="AA74">
        <f>-(S74*1000-coord!$D$2)/$U74</f>
        <v>-0.72416037008459166</v>
      </c>
      <c r="AB74">
        <v>1</v>
      </c>
      <c r="AD74">
        <f t="array" ref="AD74:AJ77">TRANSPOSE(Y74:AB80)</f>
        <v>-0.115339600285428</v>
      </c>
      <c r="AE74">
        <v>-0.21157226151779046</v>
      </c>
      <c r="AF74">
        <v>-0.14520748579030895</v>
      </c>
      <c r="AG74">
        <v>-0.80883700597631469</v>
      </c>
      <c r="AH74">
        <v>-0.42671399896595147</v>
      </c>
      <c r="AI74">
        <v>-0.51099850761811283</v>
      </c>
      <c r="AJ74">
        <v>-0.96758090653737716</v>
      </c>
      <c r="AL74">
        <f t="array" ref="AL74:AO77">MMULT(AD74:AJ77,Y74:AB80)</f>
        <v>2.1127856838011714</v>
      </c>
      <c r="AM74">
        <v>0.33826769510280125</v>
      </c>
      <c r="AN74">
        <v>1.1243933642611732</v>
      </c>
      <c r="AO74">
        <v>-3.1862497666912835</v>
      </c>
      <c r="AQ74">
        <f t="array" ref="AQ74:AT77">MINVERSE(AL74:AO77)</f>
        <v>2.5230245631326742</v>
      </c>
      <c r="AR74">
        <v>-1.2349369103114415E-2</v>
      </c>
      <c r="AS74">
        <v>1.4924271196584482</v>
      </c>
      <c r="AT74">
        <v>1.8845063550889196</v>
      </c>
      <c r="AV74">
        <f t="array" ref="AV74:AV77">MMULT(AD74:AJ77,V74:V80)</f>
        <v>10.544073871198005</v>
      </c>
      <c r="AX74">
        <f t="array" ref="AX74:AX77">MMULT(AQ74:AT77,AV74:AV77)</f>
        <v>9.0077350441263349</v>
      </c>
      <c r="BA74">
        <f>SQRT(($Q74*1000+coord!$B$7*$O74*$R74*1000-coord!$B$2-AX$74)^2+($R74*1000-coord!$B$7*$O74*$Q74*1000-coord!$C$2-AX$75)^2+($S74*1000-coord!$D$2-AX$76)^2)</f>
        <v>22755063.638439175</v>
      </c>
      <c r="BB74" s="3">
        <f>$D74-(BA74-$T74)-AX$77</f>
        <v>-6.0143696021046651</v>
      </c>
      <c r="BD74" s="1">
        <f>coord!$B$2+$AX74</f>
        <v>4388887.1785350442</v>
      </c>
      <c r="BE74" s="1">
        <f>coord!$C$2+$AX75</f>
        <v>924549.85019081563</v>
      </c>
      <c r="BF74" s="1">
        <f>coord!$D$2+$AX76</f>
        <v>4519603.7614371525</v>
      </c>
      <c r="BG74" s="1">
        <f>coord!$E$2+$AX77</f>
        <v>5.9671486008670342</v>
      </c>
      <c r="BH74" s="8">
        <f>lat($BD74,$BE74,$BF74)</f>
        <v>45.411239515766084</v>
      </c>
      <c r="BI74" s="8">
        <f>lon($BD74,$BE74,$BF74)</f>
        <v>11.895828273789347</v>
      </c>
      <c r="BJ74" s="6">
        <f>h($BD74,$BE74,$BF74)</f>
        <v>76.391572603955865</v>
      </c>
      <c r="BL74">
        <f>grado($BH74)</f>
        <v>45</v>
      </c>
      <c r="BM74">
        <f>MINUTOprimo($BH74)</f>
        <v>24</v>
      </c>
      <c r="BN74">
        <f>MINUTOsecondo($BH74)</f>
        <v>40.462256757903106</v>
      </c>
      <c r="BO74">
        <f>grado($BI74)</f>
        <v>11</v>
      </c>
      <c r="BP74">
        <f>MINUTOprimo($BI74)</f>
        <v>53</v>
      </c>
      <c r="BQ74">
        <f>MINUTOsecondo($BI74)</f>
        <v>44.981785641647747</v>
      </c>
      <c r="BS74">
        <f>-SIN(RADIANS(BH74))*COS(RADIANS(BI74))</f>
        <v>-0.69686933945679852</v>
      </c>
      <c r="BT74">
        <f>-SIN(RADIANS(BI74))</f>
        <v>-0.20613293926073051</v>
      </c>
      <c r="BU74">
        <f>COS(RADIANS(BH74))*COS(RADIANS(BI74))</f>
        <v>0.68693692219648328</v>
      </c>
      <c r="BW74" t="s">
        <v>93</v>
      </c>
      <c r="BX74">
        <f t="array" ref="BX74:BZ76">MINVERSE(BS74:BU76)</f>
        <v>-0.69686933945679841</v>
      </c>
      <c r="BY74">
        <v>-0.14680041140004152</v>
      </c>
      <c r="BZ74">
        <v>0.70201336378862766</v>
      </c>
      <c r="CA74">
        <v>0</v>
      </c>
      <c r="CB74" s="1">
        <f t="array" ref="CB74:CB76">MMULT(BX74:BZ76,AX74:AX76)</f>
        <v>7.5842610034836664</v>
      </c>
      <c r="CD74" s="1">
        <f t="array" ref="CD74:CF74">TRANSPOSE(CB74:CB76)</f>
        <v>7.5842610034836664</v>
      </c>
      <c r="CE74" s="1">
        <v>-21.782484024709191</v>
      </c>
      <c r="CF74" s="1">
        <v>14.270431864593874</v>
      </c>
      <c r="CH74">
        <f t="array" ref="CH74:CK77">MMULT(BX74:CA77,AQ74:AT77)</f>
        <v>-0.70870178579787613</v>
      </c>
      <c r="CI74">
        <v>0.16299781479948283</v>
      </c>
      <c r="CJ74">
        <v>0.62324899801181721</v>
      </c>
      <c r="CK74">
        <v>-1.3982492948635405E-2</v>
      </c>
      <c r="CM74">
        <f t="array" ref="CM74:CP77">TRANSPOSE(BX74:CA77)</f>
        <v>-0.69686933945679841</v>
      </c>
      <c r="CN74">
        <v>-0.20613293926073054</v>
      </c>
      <c r="CO74">
        <v>0.68693692219648328</v>
      </c>
      <c r="CP74">
        <v>0</v>
      </c>
      <c r="CR74" s="5">
        <f t="array" ref="CR74:CU77">MMULT(CH74:CK77,CM74:CP77)</f>
        <v>0.90747352464311504</v>
      </c>
      <c r="CS74" s="5">
        <v>0.30558405529300214</v>
      </c>
      <c r="CT74" s="5">
        <v>-1.9390966136954513E-2</v>
      </c>
      <c r="CU74" s="5">
        <v>-1.3982492948635405E-2</v>
      </c>
      <c r="CW74" s="3">
        <f>SQRT(CR74+CS75)</f>
        <v>1.2164133486082682</v>
      </c>
      <c r="CX74" s="3">
        <f>CT76</f>
        <v>3.960068007817239</v>
      </c>
      <c r="CY74" s="3">
        <f>CU77</f>
        <v>1.9307779684852933</v>
      </c>
      <c r="CZ74" s="3">
        <f>BD81</f>
        <v>4.799570254042469</v>
      </c>
      <c r="DA74">
        <v>6</v>
      </c>
      <c r="DB74" s="6">
        <f>CY74*DA74*CZ74</f>
        <v>55.601427028215369</v>
      </c>
      <c r="DC74">
        <v>5.33</v>
      </c>
      <c r="DD74" s="6">
        <f>CZ74*DC74*SQRT(0.5*(CR74+CS75)+SQRT((0.5*(CR74-CS75))^2+CS74^2))</f>
        <v>26.688218676608376</v>
      </c>
    </row>
    <row r="75" spans="1:108">
      <c r="A75">
        <v>18</v>
      </c>
      <c r="B75">
        <f t="shared" si="17"/>
        <v>0.4</v>
      </c>
      <c r="C75">
        <v>23</v>
      </c>
      <c r="D75">
        <v>21038381.397</v>
      </c>
      <c r="E75">
        <v>110557437.81749</v>
      </c>
      <c r="F75">
        <v>-1884.18</v>
      </c>
      <c r="G75">
        <v>21038377.636999998</v>
      </c>
      <c r="H75">
        <v>86148639.337469995</v>
      </c>
      <c r="J75" s="5">
        <f>'sv23'!$AA$3+'sv23'!$Z$3*($B75)+'sv23'!$Y$3*($B75)^2+'sv23'!$X$3*($B75)^3+'sv23'!$W$3*($B75)^4+'sv23'!$V$3*($B75)^5+'sv23'!$U$3*($B75)^6+'sv23'!$T$3*($B75)^7+'sv23'!$S$3*($B75)^8</f>
        <v>8863.2983711578254</v>
      </c>
      <c r="K75" s="5">
        <f>'sv23'!$AA$4+'sv23'!$Z$4*($B75)+'sv23'!$Y$4*($B75)^2+'sv23'!$X$4*($B75)^3+'sv23'!$W$4*($B75)^4+'sv23'!$V$4*($B75)^5+'sv23'!$U$4*($B75)^6+'sv23'!$T$4*($B75)^7+'sv23'!$S$4*($B75)^8</f>
        <v>12646.275765167702</v>
      </c>
      <c r="L75" s="5">
        <f>'sv23'!$AA$5+'sv23'!$Z$5*($B75)+'sv23'!$Y$5*($B75)^2+'sv23'!$X$5*($B75)^3+'sv23'!$W$5*($B75)^4+'sv23'!$V$5*($B75)^5+'sv23'!$U$5*($B75)^6+'sv23'!$T$5*($B75)^7+'sv23'!$S$5*($B75)^8</f>
        <v>21545.363816326448</v>
      </c>
      <c r="M75" s="5">
        <f>'sv23'!$AA$6+'sv23'!$Z$6*$B75+'sv23'!$Y$6*$B75^2+'sv23'!$X$6*$B75^3+'sv23'!$W$6*$B75^4+'sv23'!$V$6*$B75^5+'sv23'!$U$6*$B75^6+'sv23'!$T$6*$B75^7+'sv23'!$S$6*$B75^8</f>
        <v>370.05685493079767</v>
      </c>
      <c r="O75">
        <f>SQRT(($J75*1000-coord!$B$2)^2+($K75*1000-coord!$C$2)^2+($L75*1000-coord!$D$2)^2)/coord!$B$6</f>
        <v>7.0546704569178845E-2</v>
      </c>
      <c r="Q75" s="5">
        <f>'sv23'!$AA$3+'sv23'!$Z$3*($B75-$O75/3600)+'sv23'!$Y$3*($B75-$O75/3600)^2+'sv23'!$X$3*($B75-$O75/3600)^3+'sv23'!$W$3*($B75-$O75/3600)^4+'sv23'!$V$3*($B75-$O75/3600)^5+'sv23'!$U$3*($B75-$O75/3600)^6+'sv23'!$T$3*($B75-$O75/3600)^7+'sv23'!$S$3*($B75-$O75/3600)^8+K75*coord!$B$7*O75</f>
        <v>8863.4879846253316</v>
      </c>
      <c r="R75" s="5">
        <f>'sv23'!$AA$4+'sv23'!$Z$4*($B75-$O75/3600)+'sv23'!$Y$4*($B75-$O75/3600)^2+'sv23'!$X$4*($B75-$O75/3600)^3+'sv23'!$W$4*($B75-$O75/3600)^4+'sv23'!$V$4*($B75-$O75/3600)^5+'sv23'!$U$4*($B75-$O75/3600)^6+'sv23'!$T$4*($B75-$O75/3600)^7+'sv23'!$S$4*($B75-$O75/3600)^8-J75*coord!$B$7*O75</f>
        <v>12646.081894767774</v>
      </c>
      <c r="S75" s="5">
        <f>'sv23'!$AA$5+'sv23'!$Z$5*($B75-$O75/3600)+'sv23'!$Y$5*($B75-$O75/3600)^2+'sv23'!$X$5*($B75-$O75/3600)^3+'sv23'!$W$5*($B75-$O75/3600)^4+'sv23'!$V$5*($B75-$O75/3600)^5+'sv23'!$U$5*($B75-$O75/3600)^6+'sv23'!$T$5*($B75-$O75/3600)^7+'sv23'!$S$5*($B75-$O75/3600)^8</f>
        <v>21545.401748090804</v>
      </c>
      <c r="T75">
        <f>coord!$B$6*M75/10^6</f>
        <v>110940.25413945325</v>
      </c>
      <c r="U75">
        <f>SQRT(($Q75*1000+coord!$B$7*$O75*$R75*1000-coord!$B$2)^2+($R75*1000-coord!$B$7*$O75*$Q75*1000-coord!$C$2)^2+($S75*1000-coord!$D$2)^2)</f>
        <v>21149321.663081411</v>
      </c>
      <c r="V75" s="3">
        <f>$D75-(U75-$T75)-coord!$E$2</f>
        <v>-1.1941958218812943E-2</v>
      </c>
      <c r="W75" s="3"/>
      <c r="Y75">
        <f>-(Q75*1000-coord!$B$2)/$U75</f>
        <v>-0.21157226151779046</v>
      </c>
      <c r="Z75">
        <f>-(R75*1000-coord!$C$2)/$U75</f>
        <v>-0.55422636566301942</v>
      </c>
      <c r="AA75">
        <f>-(S75*1000-coord!$D$2)/$U75</f>
        <v>-0.80502882054658664</v>
      </c>
      <c r="AB75">
        <v>1</v>
      </c>
      <c r="AD75">
        <v>0.67991692980240126</v>
      </c>
      <c r="AE75">
        <v>-0.55422636566301942</v>
      </c>
      <c r="AF75">
        <v>0.77916645122780048</v>
      </c>
      <c r="AG75">
        <v>0.38122479394497538</v>
      </c>
      <c r="AH75">
        <v>-0.90207516541545918</v>
      </c>
      <c r="AI75">
        <v>-0.18471184180966149</v>
      </c>
      <c r="AJ75">
        <v>-0.24969907987220771</v>
      </c>
      <c r="AL75">
        <v>0.33826769510280125</v>
      </c>
      <c r="AM75">
        <v>2.4320942971183479</v>
      </c>
      <c r="AN75">
        <v>-0.48808794887540896</v>
      </c>
      <c r="AO75">
        <v>-5.040427778517062E-2</v>
      </c>
      <c r="AQ75">
        <v>-1.234936910311437E-2</v>
      </c>
      <c r="AR75">
        <v>0.48041388713709332</v>
      </c>
      <c r="AS75">
        <v>0.32038830880664965</v>
      </c>
      <c r="AT75">
        <v>0.15587585808660906</v>
      </c>
      <c r="AV75">
        <v>-54.33758756057199</v>
      </c>
      <c r="AX75">
        <v>-20.363009184393814</v>
      </c>
      <c r="BA75">
        <f>SQRT(($Q75*1000+coord!$B$7*$O75*$R75*1000-coord!$B$2-AX$74)^2+($R75*1000-coord!$B$7*$O75*$Q75*1000-coord!$C$2-AX$75)^2+($S75*1000-coord!$D$2-AX$76)^2)</f>
        <v>21149318.57536491</v>
      </c>
      <c r="BB75" s="3">
        <f t="shared" ref="BB75:BB80" si="18">$D75-(BA75-$T75)-AX$77</f>
        <v>-2.8913740578796876</v>
      </c>
      <c r="BD75" s="1"/>
      <c r="BE75" s="1"/>
      <c r="BF75" s="1"/>
      <c r="BS75">
        <f>-SIN(RADIANS(BH74))*SIN(RADIANS(BI74))</f>
        <v>-0.14680041140004155</v>
      </c>
      <c r="BT75">
        <f>COS(RADIANS(BI74))</f>
        <v>0.97852399630858922</v>
      </c>
      <c r="BU75">
        <f>COS(RADIANS(BH74))*SIN(RADIANS(BI74))</f>
        <v>0.14470807807806227</v>
      </c>
      <c r="BW75" t="s">
        <v>94</v>
      </c>
      <c r="BX75">
        <v>-0.20613293926073054</v>
      </c>
      <c r="BY75">
        <v>0.97852399630858922</v>
      </c>
      <c r="BZ75">
        <v>2.8364736808023932E-17</v>
      </c>
      <c r="CA75">
        <v>0</v>
      </c>
      <c r="CB75" s="1">
        <v>-21.782484024709191</v>
      </c>
      <c r="CD75" s="1"/>
      <c r="CE75" s="1"/>
      <c r="CF75" s="1"/>
      <c r="CH75">
        <v>-0.53216262303222805</v>
      </c>
      <c r="CI75">
        <v>0.47264212847477272</v>
      </c>
      <c r="CJ75">
        <v>5.8692594964112749E-3</v>
      </c>
      <c r="CK75">
        <v>-0.2359305664470657</v>
      </c>
      <c r="CM75">
        <v>-0.14680041140004152</v>
      </c>
      <c r="CN75">
        <v>0.97852399630858922</v>
      </c>
      <c r="CO75">
        <v>0.14470807807806227</v>
      </c>
      <c r="CP75">
        <v>0</v>
      </c>
      <c r="CR75" s="5">
        <v>0.30558405529300209</v>
      </c>
      <c r="CS75" s="5">
        <v>0.5721879100292655</v>
      </c>
      <c r="CT75" s="5">
        <v>-0.29298714636612566</v>
      </c>
      <c r="CU75" s="5">
        <v>-0.2359305664470657</v>
      </c>
    </row>
    <row r="76" spans="1:108">
      <c r="A76">
        <v>18</v>
      </c>
      <c r="B76">
        <f t="shared" si="17"/>
        <v>0.4</v>
      </c>
      <c r="C76">
        <v>10</v>
      </c>
      <c r="D76">
        <v>23029922.473000001</v>
      </c>
      <c r="E76">
        <v>121023062.62348001</v>
      </c>
      <c r="F76">
        <v>3057.585</v>
      </c>
      <c r="G76">
        <v>23029922.918000001</v>
      </c>
      <c r="H76">
        <v>94303688.466450006</v>
      </c>
      <c r="J76" s="5">
        <f>'sv10'!$AA$3+'sv10'!$Z$3*($B76)+'sv10'!$Y$3*($B76)^2+'sv10'!$X$3*($B76)^3+'sv10'!$W$3*($B76)^4+'sv10'!$V$3*($B76)^5+'sv10'!$U$3*($B76)^6+'sv10'!$T$3*($B76)^7+'sv10'!$S$3*($B76)^8</f>
        <v>7731.2981420010283</v>
      </c>
      <c r="K76" s="5">
        <f>'sv10'!$AA$4+'sv10'!$Z$4*($B76)+'sv10'!$Y$4*($B76)^2+'sv10'!$X$4*($B76)^3+'sv10'!$W$4*($B76)^4+'sv10'!$V$4*($B76)^5+'sv10'!$U$4*($B76)^6+'sv10'!$T$4*($B76)^7+'sv10'!$S$4*($B76)^8</f>
        <v>-17009.328972441373</v>
      </c>
      <c r="L76" s="5">
        <f>'sv10'!$AA$5+'sv10'!$Z$5*($B76)+'sv10'!$Y$5*($B76)^2+'sv10'!$X$5*($B76)^3+'sv10'!$W$5*($B76)^4+'sv10'!$V$5*($B76)^5+'sv10'!$U$5*($B76)^6+'sv10'!$T$5*($B76)^7+'sv10'!$S$5*($B76)^8</f>
        <v>18554.689668310573</v>
      </c>
      <c r="M76" s="5">
        <f>'sv10'!$AA$6+'sv10'!$Z$6*$B76+'sv10'!$Y$6*$B76^2+'sv10'!$X$6*$B76^3+'sv10'!$W$6*$B76^4+'sv10'!$V$6*$B76^5+'sv10'!$U$6*$B76^6+'sv10'!$T$6*$B76^7+'sv10'!$S$6*$B76^8</f>
        <v>-43.001203647564751</v>
      </c>
      <c r="O76">
        <f>SQRT(($J76*1000-coord!$B$2)^2+($K76*1000-coord!$C$2)^2+($L76*1000-coord!$D$2)^2)/coord!$B$6</f>
        <v>7.677632413112831E-2</v>
      </c>
      <c r="Q76" s="5">
        <f>'sv10'!$AA$3+'sv10'!$Z$3*($B76-$O76/3600)+'sv10'!$Y$3*($B76-$O76/3600)^2+'sv10'!$X$3*($B76-$O76/3600)^3+'sv10'!$W$3*($B76-$O76/3600)^4+'sv10'!$V$3*($B76-$O76/3600)^5+'sv10'!$U$3*($B76-$O76/3600)^6+'sv10'!$T$3*($B76-$O76/3600)^7+'sv10'!$S$3*($B76-$O76/3600)^8+K76*coord!$B$7*O76</f>
        <v>7731.1257539389308</v>
      </c>
      <c r="R76" s="5">
        <f>'sv10'!$AA$4+'sv10'!$Z$4*($B76-$O76/3600)+'sv10'!$Y$4*($B76-$O76/3600)^2+'sv10'!$X$4*($B76-$O76/3600)^3+'sv10'!$W$4*($B76-$O76/3600)^4+'sv10'!$V$4*($B76-$O76/3600)^5+'sv10'!$U$4*($B76-$O76/3600)^6+'sv10'!$T$4*($B76-$O76/3600)^7+'sv10'!$S$4*($B76-$O76/3600)^8-J76*coord!$B$7*O76</f>
        <v>-17009.540926494796</v>
      </c>
      <c r="S76" s="5">
        <f>'sv10'!$AA$5+'sv10'!$Z$5*($B76-$O76/3600)+'sv10'!$Y$5*($B76-$O76/3600)^2+'sv10'!$X$5*($B76-$O76/3600)^3+'sv10'!$W$5*($B76-$O76/3600)^4+'sv10'!$V$5*($B76-$O76/3600)^5+'sv10'!$U$5*($B76-$O76/3600)^6+'sv10'!$T$5*($B76-$O76/3600)^7+'sv10'!$S$5*($B76-$O76/3600)^8</f>
        <v>18554.565785531584</v>
      </c>
      <c r="T76">
        <f>coord!$B$6*M76/10^6</f>
        <v>-12891.436538462001</v>
      </c>
      <c r="U76">
        <f>SQRT(($Q76*1000+coord!$B$7*$O76*$R76*1000-coord!$B$2)^2+($R76*1000-coord!$B$7*$O76*$Q76*1000-coord!$C$2)^2+($S76*1000-coord!$D$2)^2)</f>
        <v>23017047.399094831</v>
      </c>
      <c r="V76" s="3">
        <f>$D76-(U76-$T76)-coord!$E$2</f>
        <v>-16.362633291631937</v>
      </c>
      <c r="W76" s="3"/>
      <c r="Y76">
        <f>-(Q76*1000-coord!$B$2)/$U76</f>
        <v>-0.14520748579030895</v>
      </c>
      <c r="Z76">
        <f>-(R76*1000-coord!$C$2)/$U76</f>
        <v>0.77916645122780048</v>
      </c>
      <c r="AA76">
        <f>-(S76*1000-coord!$D$2)/$U76</f>
        <v>-0.60976446143928631</v>
      </c>
      <c r="AB76">
        <v>1</v>
      </c>
      <c r="AD76">
        <v>-0.72416037008459166</v>
      </c>
      <c r="AE76">
        <v>-0.80502882054658664</v>
      </c>
      <c r="AF76">
        <v>-0.60976446143928631</v>
      </c>
      <c r="AG76">
        <v>-0.44771550840338392</v>
      </c>
      <c r="AH76">
        <v>-6.4631981848532014E-2</v>
      </c>
      <c r="AI76">
        <v>-0.83950117643253908</v>
      </c>
      <c r="AJ76">
        <v>3.7916443701497611E-2</v>
      </c>
      <c r="AL76">
        <v>1.1243933642611732</v>
      </c>
      <c r="AM76">
        <v>-0.48808794887540896</v>
      </c>
      <c r="AN76">
        <v>2.4551186934231799</v>
      </c>
      <c r="AO76">
        <v>-3.4528858750534219</v>
      </c>
      <c r="AQ76">
        <v>1.492427119658448</v>
      </c>
      <c r="AR76">
        <v>0.32038830880664965</v>
      </c>
      <c r="AS76">
        <v>2.4362909922198526</v>
      </c>
      <c r="AT76">
        <v>1.8833756082410715</v>
      </c>
      <c r="AV76">
        <v>37.486053709483407</v>
      </c>
      <c r="AX76">
        <v>15.487137152773002</v>
      </c>
      <c r="BA76">
        <f>SQRT(($Q76*1000+coord!$B$7*$O76*$R76*1000-coord!$B$2-AX$74)^2+($R76*1000-coord!$B$7*$O76*$Q76*1000-coord!$C$2-AX$75)^2+($S76*1000-coord!$D$2-AX$76)^2)</f>
        <v>23017020.781424388</v>
      </c>
      <c r="BB76" s="3">
        <f t="shared" si="18"/>
        <v>4.287888550410031</v>
      </c>
      <c r="BD76" s="1"/>
      <c r="BE76" s="1"/>
      <c r="BF76" s="1"/>
      <c r="BS76">
        <f>COS(RADIANS(BH74))</f>
        <v>0.70201336378862755</v>
      </c>
      <c r="BT76">
        <v>0</v>
      </c>
      <c r="BU76">
        <f>SIN(RADIANS(BH74))</f>
        <v>0.71216377123676833</v>
      </c>
      <c r="BW76" t="s">
        <v>95</v>
      </c>
      <c r="BX76">
        <v>0.68693692219648328</v>
      </c>
      <c r="BY76">
        <v>0.14470807807806227</v>
      </c>
      <c r="BZ76">
        <v>0.71216377123676822</v>
      </c>
      <c r="CA76">
        <v>0</v>
      </c>
      <c r="CB76" s="1">
        <v>14.270431864593874</v>
      </c>
      <c r="CD76" s="1"/>
      <c r="CE76" s="1"/>
      <c r="CF76" s="1"/>
      <c r="CH76">
        <v>2.7942242003880855</v>
      </c>
      <c r="CI76">
        <v>0.28920547894677201</v>
      </c>
      <c r="CJ76">
        <v>2.8066042494362859</v>
      </c>
      <c r="CK76">
        <v>2.6583653670872813</v>
      </c>
      <c r="CM76">
        <v>0.70201336378862766</v>
      </c>
      <c r="CN76">
        <v>2.8364736808023932E-17</v>
      </c>
      <c r="CO76">
        <v>0.71216377123676822</v>
      </c>
      <c r="CP76">
        <v>0</v>
      </c>
      <c r="CR76" s="5">
        <v>-1.9390966136954235E-2</v>
      </c>
      <c r="CS76" s="5">
        <v>-0.29298714636612561</v>
      </c>
      <c r="CT76" s="5">
        <v>3.960068007817239</v>
      </c>
      <c r="CU76" s="5">
        <v>2.6583653670872813</v>
      </c>
    </row>
    <row r="77" spans="1:108">
      <c r="A77">
        <v>18</v>
      </c>
      <c r="B77">
        <f t="shared" si="17"/>
        <v>0.4</v>
      </c>
      <c r="C77">
        <v>4</v>
      </c>
      <c r="D77">
        <v>21121816.041999999</v>
      </c>
      <c r="E77">
        <v>110995890.93249001</v>
      </c>
      <c r="F77">
        <v>-850.28399999999999</v>
      </c>
      <c r="G77">
        <v>21121815.539000001</v>
      </c>
      <c r="H77">
        <v>86490301.504480004</v>
      </c>
      <c r="J77" s="5">
        <f>'sv04'!$AA$3+'sv04'!$Z$3*($B77)+'sv04'!$Y$3*($B77)^2+'sv04'!$X$3*($B77)^3+'sv04'!$W$3*($B77)^4+'sv04'!$V$3*($B77)^5+'sv04'!$U$3*($B77)^6+'sv04'!$T$3*($B77)^7+'sv04'!$S$3*($B77)^8</f>
        <v>21494.152261891937</v>
      </c>
      <c r="K77" s="5">
        <f>'sv04'!$AA$4+'sv04'!$Z$4*($B77)+'sv04'!$Y$4*($B77)^2+'sv04'!$X$4*($B77)^3+'sv04'!$W$4*($B77)^4+'sv04'!$V$4*($B77)^5+'sv04'!$U$4*($B77)^6+'sv04'!$T$4*($B77)^7+'sv04'!$S$4*($B77)^8</f>
        <v>-7137.3449981558115</v>
      </c>
      <c r="L77" s="5">
        <f>'sv04'!$AA$5+'sv04'!$Z$5*($B77)+'sv04'!$Y$5*($B77)^2+'sv04'!$X$5*($B77)^3+'sv04'!$W$5*($B77)^4+'sv04'!$V$5*($B77)^5+'sv04'!$U$5*($B77)^6+'sv04'!$T$5*($B77)^7+'sv04'!$S$5*($B77)^8</f>
        <v>13987.615772765992</v>
      </c>
      <c r="M77" s="5">
        <f>'sv04'!$AA$6+'sv04'!$Z$6*$B77+'sv04'!$Y$6*$B77^2+'sv04'!$X$6*$B77^3+'sv04'!$W$6*$B77^4+'sv04'!$V$6*$B77^5+'sv04'!$U$6*$B77^6+'sv04'!$T$6*$B77^7+'sv04'!$S$6*$B77^8</f>
        <v>86.59931202182409</v>
      </c>
      <c r="O77">
        <f>SQRT(($J77*1000-coord!$B$2)^2+($K77*1000-coord!$C$2)^2+($L77*1000-coord!$D$2)^2)/coord!$B$6</f>
        <v>7.054138716198767E-2</v>
      </c>
      <c r="Q77" s="5">
        <f>'sv04'!$AA$3+'sv04'!$Z$3*($B77-$O77/3600)+'sv04'!$Y$3*($B77-$O77/3600)^2+'sv04'!$X$3*($B77-$O77/3600)^3+'sv04'!$W$3*($B77-$O77/3600)^4+'sv04'!$V$3*($B77-$O77/3600)^5+'sv04'!$U$3*($B77-$O77/3600)^6+'sv04'!$T$3*($B77-$O77/3600)^7+'sv04'!$S$3*($B77-$O77/3600)^8+K77*coord!$B$7*O77</f>
        <v>21493.99278860246</v>
      </c>
      <c r="R77" s="5">
        <f>'sv04'!$AA$4+'sv04'!$Z$4*($B77-$O77/3600)+'sv04'!$Y$4*($B77-$O77/3600)^2+'sv04'!$X$4*($B77-$O77/3600)^3+'sv04'!$W$4*($B77-$O77/3600)^4+'sv04'!$V$4*($B77-$O77/3600)^5+'sv04'!$U$4*($B77-$O77/3600)^6+'sv04'!$T$4*($B77-$O77/3600)^7+'sv04'!$S$4*($B77-$O77/3600)^8-J77*coord!$B$7*O77</f>
        <v>-7137.4914226988412</v>
      </c>
      <c r="S77" s="5">
        <f>'sv04'!$AA$5+'sv04'!$Z$5*($B77-$O77/3600)+'sv04'!$Y$5*($B77-$O77/3600)^2+'sv04'!$X$5*($B77-$O77/3600)^3+'sv04'!$W$5*($B77-$O77/3600)^4+'sv04'!$V$5*($B77-$O77/3600)^5+'sv04'!$U$5*($B77-$O77/3600)^6+'sv04'!$T$5*($B77-$O77/3600)^7+'sv04'!$S$5*($B77-$O77/3600)^8</f>
        <v>13987.78153304395</v>
      </c>
      <c r="T77">
        <f>coord!$B$6*M77/10^6</f>
        <v>25961.820612131592</v>
      </c>
      <c r="U77">
        <f>SQRT(($Q77*1000+coord!$B$7*$O77*$R77*1000-coord!$B$2)^2+($R77*1000-coord!$B$7*$O77*$Q77*1000-coord!$C$2)^2+($S77*1000-coord!$D$2)^2)</f>
        <v>21147789.346205249</v>
      </c>
      <c r="V77" s="3">
        <f>$D77-(U77-$T77)-coord!$E$2</f>
        <v>-11.483593117445707</v>
      </c>
      <c r="W77" s="3"/>
      <c r="Y77">
        <f>-(Q77*1000-coord!$B$2)/$U77</f>
        <v>-0.80883700597631469</v>
      </c>
      <c r="Z77">
        <f>-(R77*1000-coord!$C$2)/$U77</f>
        <v>0.38122479394497538</v>
      </c>
      <c r="AA77">
        <f>-(S77*1000-coord!$D$2)/$U77</f>
        <v>-0.44771550840338392</v>
      </c>
      <c r="AB77">
        <v>1</v>
      </c>
      <c r="AD77">
        <v>1</v>
      </c>
      <c r="AE77">
        <v>1</v>
      </c>
      <c r="AF77">
        <v>1</v>
      </c>
      <c r="AG77">
        <v>1</v>
      </c>
      <c r="AH77">
        <v>1</v>
      </c>
      <c r="AI77">
        <v>1</v>
      </c>
      <c r="AJ77">
        <v>1</v>
      </c>
      <c r="AL77">
        <v>-3.1862497666912835</v>
      </c>
      <c r="AM77">
        <v>-5.040427778517062E-2</v>
      </c>
      <c r="AN77">
        <v>-3.4528858750534219</v>
      </c>
      <c r="AO77">
        <v>7</v>
      </c>
      <c r="AQ77">
        <v>1.8845063550889192</v>
      </c>
      <c r="AR77">
        <v>0.15587585808660903</v>
      </c>
      <c r="AS77">
        <v>1.8833756082410715</v>
      </c>
      <c r="AT77">
        <v>1.9307779684852933</v>
      </c>
      <c r="AV77">
        <v>-39.37978782504797</v>
      </c>
      <c r="AX77">
        <v>5.9671486008670342</v>
      </c>
      <c r="BA77">
        <f>SQRT(($Q77*1000+coord!$B$7*$O77*$R77*1000-coord!$B$2-AX$74)^2+($R77*1000-coord!$B$7*$O77*$Q77*1000-coord!$C$2-AX$75)^2+($S77*1000-coord!$D$2-AX$76)^2)</f>
        <v>21147767.363615487</v>
      </c>
      <c r="BB77" s="3">
        <f t="shared" si="18"/>
        <v>4.5318480443451392</v>
      </c>
      <c r="BD77" s="1"/>
      <c r="BE77" s="1"/>
      <c r="BF77" s="1"/>
      <c r="BX77">
        <v>0</v>
      </c>
      <c r="BY77">
        <v>0</v>
      </c>
      <c r="BZ77">
        <v>0</v>
      </c>
      <c r="CA77">
        <v>1</v>
      </c>
      <c r="CD77" s="1"/>
      <c r="CE77" s="1"/>
      <c r="CF77" s="1"/>
      <c r="CH77">
        <v>1.8845063550889192</v>
      </c>
      <c r="CI77">
        <v>0.15587585808660903</v>
      </c>
      <c r="CJ77">
        <v>1.8833756082410715</v>
      </c>
      <c r="CK77">
        <v>1.9307779684852933</v>
      </c>
      <c r="CM77">
        <v>0</v>
      </c>
      <c r="CN77">
        <v>0</v>
      </c>
      <c r="CO77">
        <v>0</v>
      </c>
      <c r="CP77">
        <v>1</v>
      </c>
      <c r="CR77" s="5">
        <v>-1.3982492948635183E-2</v>
      </c>
      <c r="CS77" s="5">
        <v>-0.23593056644706561</v>
      </c>
      <c r="CT77" s="5">
        <v>2.6583653670872809</v>
      </c>
      <c r="CU77" s="5">
        <v>1.9307779684852933</v>
      </c>
    </row>
    <row r="78" spans="1:108">
      <c r="A78">
        <v>18</v>
      </c>
      <c r="B78">
        <f t="shared" si="17"/>
        <v>0.4</v>
      </c>
      <c r="C78">
        <v>20</v>
      </c>
      <c r="D78">
        <v>22938779.942000002</v>
      </c>
      <c r="E78">
        <v>120544103.79347999</v>
      </c>
      <c r="F78">
        <v>-3019.3829999999998</v>
      </c>
      <c r="G78">
        <v>22938780.359999999</v>
      </c>
      <c r="H78">
        <v>93930465.053460002</v>
      </c>
      <c r="J78" s="5">
        <f>'sv20'!$AA$3+'sv20'!$Z$3*($B78)+'sv20'!$Y$3*($B78)^2+'sv20'!$X$3*($B78)^3+'sv20'!$W$3*($B78)^4+'sv20'!$V$3*($B78)^5+'sv20'!$U$3*($B78)^6+'sv20'!$T$3*($B78)^7+'sv20'!$S$3*($B78)^8</f>
        <v>14184.186335902965</v>
      </c>
      <c r="K78" s="5">
        <f>'sv20'!$AA$4+'sv20'!$Z$4*($B78)+'sv20'!$Y$4*($B78)^2+'sv20'!$X$4*($B78)^3+'sv20'!$W$4*($B78)^4+'sv20'!$V$4*($B78)^5+'sv20'!$U$4*($B78)^6+'sv20'!$T$4*($B78)^7+'sv20'!$S$4*($B78)^8</f>
        <v>21632.292167696298</v>
      </c>
      <c r="L78" s="5">
        <f>'sv20'!$AA$5+'sv20'!$Z$5*($B78)+'sv20'!$Y$5*($B78)^2+'sv20'!$X$5*($B78)^3+'sv20'!$W$5*($B78)^4+'sv20'!$V$5*($B78)^5+'sv20'!$U$5*($B78)^6+'sv20'!$T$5*($B78)^7+'sv20'!$S$5*($B78)^8</f>
        <v>6003.0178009921292</v>
      </c>
      <c r="M78" s="5">
        <f>'sv20'!$AA$6+'sv20'!$Z$6*$B78+'sv20'!$Y$6*$B78^2+'sv20'!$X$6*$B78^3+'sv20'!$W$6*$B78^4+'sv20'!$V$6*$B78^5+'sv20'!$U$6*$B78^6+'sv20'!$T$6*$B78^7+'sv20'!$S$6*$B78^8</f>
        <v>55.81787662371989</v>
      </c>
      <c r="O78">
        <f>SQRT(($J78*1000-coord!$B$2)^2+($K78*1000-coord!$C$2)^2+($L78*1000-coord!$D$2)^2)/coord!$B$6</f>
        <v>7.6571552426218714E-2</v>
      </c>
      <c r="Q78" s="5">
        <f>'sv20'!$AA$3+'sv20'!$Z$3*($B78-$O78/3600)+'sv20'!$Y$3*($B78-$O78/3600)^2+'sv20'!$X$3*($B78-$O78/3600)^3+'sv20'!$W$3*($B78-$O78/3600)^4+'sv20'!$V$3*($B78-$O78/3600)^5+'sv20'!$U$3*($B78-$O78/3600)^6+'sv20'!$T$3*($B78-$O78/3600)^7+'sv20'!$S$3*($B78-$O78/3600)^8+K78*coord!$B$7*O78</f>
        <v>14184.307158262964</v>
      </c>
      <c r="R78" s="5">
        <f>'sv20'!$AA$4+'sv20'!$Z$4*($B78-$O78/3600)+'sv20'!$Y$4*($B78-$O78/3600)^2+'sv20'!$X$4*($B78-$O78/3600)^3+'sv20'!$W$4*($B78-$O78/3600)^4+'sv20'!$V$4*($B78-$O78/3600)^5+'sv20'!$U$4*($B78-$O78/3600)^6+'sv20'!$T$4*($B78-$O78/3600)^7+'sv20'!$S$4*($B78-$O78/3600)^8-J78*coord!$B$7*O78</f>
        <v>21632.147760676009</v>
      </c>
      <c r="S78" s="5">
        <f>'sv20'!$AA$5+'sv20'!$Z$5*($B78-$O78/3600)+'sv20'!$Y$5*($B78-$O78/3600)^2+'sv20'!$X$5*($B78-$O78/3600)^3+'sv20'!$W$5*($B78-$O78/3600)^4+'sv20'!$V$5*($B78-$O78/3600)^5+'sv20'!$U$5*($B78-$O78/3600)^6+'sv20'!$T$5*($B78-$O78/3600)^7+'sv20'!$S$5*($B78-$O78/3600)^8</f>
        <v>6003.247095080349</v>
      </c>
      <c r="T78">
        <f>coord!$B$6*M78/10^6</f>
        <v>16733.778433365726</v>
      </c>
      <c r="U78">
        <f>SQRT(($Q78*1000+coord!$B$7*$O78*$R78*1000-coord!$B$2)^2+($R78*1000-coord!$B$7*$O78*$Q78*1000-coord!$C$2)^2+($S78*1000-coord!$D$2)^2)</f>
        <v>22955490.120314907</v>
      </c>
      <c r="V78" s="3">
        <f>$D78-(U78-$T78)-coord!$E$2</f>
        <v>23.600118458271027</v>
      </c>
      <c r="W78" s="3"/>
      <c r="Y78">
        <f>-(Q78*1000-coord!$B$2)/$U78</f>
        <v>-0.42671399896595147</v>
      </c>
      <c r="Z78">
        <f>-(R78*1000-coord!$C$2)/$U78</f>
        <v>-0.90207516541545918</v>
      </c>
      <c r="AA78">
        <f>-(S78*1000-coord!$D$2)/$U78</f>
        <v>-6.4631981848532014E-2</v>
      </c>
      <c r="AB78">
        <v>1</v>
      </c>
      <c r="BA78">
        <f>SQRT(($Q78*1000+coord!$B$7*$O78*$R78*1000-coord!$B$2-AX$74)^2+($R78*1000-coord!$B$7*$O78*$Q78*1000-coord!$C$2-AX$75)^2+($S78*1000-coord!$D$2-AX$76)^2)</f>
        <v>22955503.644483164</v>
      </c>
      <c r="BB78" s="3">
        <f t="shared" si="18"/>
        <v>4.1088016007337558</v>
      </c>
      <c r="BD78" s="1"/>
      <c r="BE78" s="1"/>
      <c r="BF78" s="1"/>
      <c r="CD78" s="1"/>
      <c r="CE78" s="1"/>
      <c r="CF78" s="1"/>
    </row>
    <row r="79" spans="1:108">
      <c r="A79">
        <v>18</v>
      </c>
      <c r="B79">
        <f t="shared" si="17"/>
        <v>0.4</v>
      </c>
      <c r="C79">
        <v>13</v>
      </c>
      <c r="D79">
        <v>20113703.671</v>
      </c>
      <c r="E79">
        <v>105698225.72449</v>
      </c>
      <c r="F79">
        <v>-605.83199999999999</v>
      </c>
      <c r="G79">
        <v>20113701.765000001</v>
      </c>
      <c r="H79">
        <v>82362245.872480005</v>
      </c>
      <c r="J79" s="5">
        <f>'sv13'!$AA$3+'sv13'!$Z$3*($B79)+'sv13'!$Y$3*($B79)^2+'sv13'!$X$3*($B79)^3+'sv13'!$W$3*($B79)^4+'sv13'!$V$3*($B79)^5+'sv13'!$U$3*($B79)^6+'sv13'!$T$3*($B79)^7+'sv13'!$S$3*($B79)^8</f>
        <v>14713.412757147156</v>
      </c>
      <c r="K79" s="5">
        <f>'sv13'!$AA$4+'sv13'!$Z$4*($B79)+'sv13'!$Y$4*($B79)^2+'sv13'!$X$4*($B79)^3+'sv13'!$W$4*($B79)^4+'sv13'!$V$4*($B79)^5+'sv13'!$U$4*($B79)^6+'sv13'!$T$4*($B79)^7+'sv13'!$S$4*($B79)^8</f>
        <v>4656.868272610659</v>
      </c>
      <c r="L79" s="5">
        <f>'sv13'!$AA$5+'sv13'!$Z$5*($B79)+'sv13'!$Y$5*($B79)^2+'sv13'!$X$5*($B79)^3+'sv13'!$W$5*($B79)^4+'sv13'!$V$5*($B79)^5+'sv13'!$U$5*($B79)^6+'sv13'!$T$5*($B79)^7+'sv13'!$S$5*($B79)^8</f>
        <v>21481.689290818103</v>
      </c>
      <c r="M79" s="5">
        <f>'sv13'!$AA$6+'sv13'!$Z$6*$B79+'sv13'!$Y$6*$B79^2+'sv13'!$X$6*$B79^3+'sv13'!$W$6*$B79^4+'sv13'!$V$6*$B79^5+'sv13'!$U$6*$B79^6+'sv13'!$T$6*$B79^7+'sv13'!$S$6*$B79^8</f>
        <v>304.21953913663663</v>
      </c>
      <c r="O79">
        <f>SQRT(($J79*1000-coord!$B$2)^2+($K79*1000-coord!$C$2)^2+($L79*1000-coord!$D$2)^2)/coord!$B$6</f>
        <v>6.7396370298096017E-2</v>
      </c>
      <c r="Q79" s="5">
        <f>'sv13'!$AA$3+'sv13'!$Z$3*($B79-$O79/3600)+'sv13'!$Y$3*($B79-$O79/3600)^2+'sv13'!$X$3*($B79-$O79/3600)^3+'sv13'!$W$3*($B79-$O79/3600)^4+'sv13'!$V$3*($B79-$O79/3600)^5+'sv13'!$U$3*($B79-$O79/3600)^6+'sv13'!$T$3*($B79-$O79/3600)^7+'sv13'!$S$3*($B79-$O79/3600)^8+K79*coord!$B$7*O79</f>
        <v>14713.558265209631</v>
      </c>
      <c r="R79" s="5">
        <f>'sv13'!$AA$4+'sv13'!$Z$4*($B79-$O79/3600)+'sv13'!$Y$4*($B79-$O79/3600)^2+'sv13'!$X$4*($B79-$O79/3600)^3+'sv13'!$W$4*($B79-$O79/3600)^4+'sv13'!$V$4*($B79-$O79/3600)^5+'sv13'!$U$4*($B79-$O79/3600)^6+'sv13'!$T$4*($B79-$O79/3600)^7+'sv13'!$S$4*($B79-$O79/3600)^8-J79*coord!$B$7*O79</f>
        <v>4656.6568003475077</v>
      </c>
      <c r="S79" s="5">
        <f>'sv13'!$AA$5+'sv13'!$Z$5*($B79-$O79/3600)+'sv13'!$Y$5*($B79-$O79/3600)^2+'sv13'!$X$5*($B79-$O79/3600)^3+'sv13'!$W$5*($B79-$O79/3600)^4+'sv13'!$V$5*($B79-$O79/3600)^5+'sv13'!$U$5*($B79-$O79/3600)^6+'sv13'!$T$5*($B79-$O79/3600)^7+'sv13'!$S$5*($B79-$O79/3600)^8</f>
        <v>21481.636022635284</v>
      </c>
      <c r="T79">
        <f>coord!$B$6*M79/10^6</f>
        <v>91202.723409399492</v>
      </c>
      <c r="U79">
        <f>SQRT(($Q79*1000+coord!$B$7*$O79*$R79*1000-coord!$B$2)^2+($R79*1000-coord!$B$7*$O79*$Q79*1000-coord!$C$2)^2+($S79*1000-coord!$D$2)^2)</f>
        <v>20204912.422416754</v>
      </c>
      <c r="V79" s="3">
        <f>$D79-(U79-$T79)-coord!$E$2</f>
        <v>-6.0280073545873165</v>
      </c>
      <c r="W79" s="3"/>
      <c r="Y79">
        <f>-(Q79*1000-coord!$B$2)/$U79</f>
        <v>-0.51099850761811283</v>
      </c>
      <c r="Z79">
        <f>-(R79*1000-coord!$C$2)/$U79</f>
        <v>-0.18471184180966149</v>
      </c>
      <c r="AA79">
        <f>-(S79*1000-coord!$D$2)/$U79</f>
        <v>-0.83950117643253908</v>
      </c>
      <c r="AB79">
        <v>1</v>
      </c>
      <c r="BA79">
        <f>SQRT(($Q79*1000+coord!$B$7*$O79*$R79*1000-coord!$B$2-AX$74)^2+($R79*1000-coord!$B$7*$O79*$Q79*1000-coord!$C$2-AX$75)^2+($S79*1000-coord!$D$2-AX$76)^2)</f>
        <v>20204898.579227041</v>
      </c>
      <c r="BB79" s="3">
        <f t="shared" si="18"/>
        <v>1.8480337571594703</v>
      </c>
      <c r="BD79" s="1"/>
      <c r="BE79" s="1"/>
      <c r="BF79" s="1"/>
      <c r="CD79" s="1"/>
      <c r="CE79" s="1"/>
      <c r="CF79" s="1"/>
    </row>
    <row r="80" spans="1:108">
      <c r="A80">
        <v>18</v>
      </c>
      <c r="B80">
        <f t="shared" si="17"/>
        <v>0.4</v>
      </c>
      <c r="C80">
        <v>7</v>
      </c>
      <c r="D80">
        <v>21928448.030999999</v>
      </c>
      <c r="E80">
        <v>115234779.76848</v>
      </c>
      <c r="F80">
        <v>2940.7139999999999</v>
      </c>
      <c r="G80">
        <v>21928447.535999998</v>
      </c>
      <c r="H80">
        <v>89793335.345469996</v>
      </c>
      <c r="J80" s="5">
        <f>'sv07'!$AA$3+'sv07'!$Z$3*($B80)+'sv07'!$Y$3*($B80)^2+'sv07'!$X$3*($B80)^3+'sv07'!$W$3*($B80)^4+'sv07'!$V$3*($B80)^5+'sv07'!$U$3*($B80)^6+'sv07'!$T$3*($B80)^7+'sv07'!$S$3*($B80)^8</f>
        <v>25606.173239759079</v>
      </c>
      <c r="K80" s="5">
        <f>'sv07'!$AA$4+'sv07'!$Z$4*($B80)+'sv07'!$Y$4*($B80)^2+'sv07'!$X$4*($B80)^3+'sv07'!$W$4*($B80)^4+'sv07'!$V$4*($B80)^5+'sv07'!$U$4*($B80)^6+'sv07'!$T$4*($B80)^7+'sv07'!$S$4*($B80)^8</f>
        <v>6400.1846388136091</v>
      </c>
      <c r="L80" s="5">
        <f>'sv07'!$AA$5+'sv07'!$Z$5*($B80)+'sv07'!$Y$5*($B80)^2+'sv07'!$X$5*($B80)^3+'sv07'!$W$5*($B80)^4+'sv07'!$V$5*($B80)^5+'sv07'!$U$5*($B80)^6+'sv07'!$T$5*($B80)^7+'sv07'!$S$5*($B80)^8</f>
        <v>3688.3765436765234</v>
      </c>
      <c r="M80" s="5">
        <f>'sv07'!$AA$6+'sv07'!$Z$6*$B80+'sv07'!$Y$6*$B80^2+'sv07'!$X$6*$B80^3+'sv07'!$W$6*$B80^4+'sv07'!$V$6*$B80^5+'sv07'!$U$6*$B80^6+'sv07'!$T$6*$B80^7+'sv07'!$S$6*$B80^8</f>
        <v>-0.63772959788864614</v>
      </c>
      <c r="O80">
        <f>SQRT(($J80*1000-coord!$B$2)^2+($K80*1000-coord!$C$2)^2+($L80*1000-coord!$D$2)^2)/coord!$B$6</f>
        <v>7.3144671979120515E-2</v>
      </c>
      <c r="Q80" s="5">
        <f>'sv07'!$AA$3+'sv07'!$Z$3*($B80-$O80/3600)+'sv07'!$Y$3*($B80-$O80/3600)^2+'sv07'!$X$3*($B80-$O80/3600)^3+'sv07'!$W$3*($B80-$O80/3600)^4+'sv07'!$V$3*($B80-$O80/3600)^5+'sv07'!$U$3*($B80-$O80/3600)^6+'sv07'!$T$3*($B80-$O80/3600)^7+'sv07'!$S$3*($B80-$O80/3600)^8+K80*coord!$B$7*O80</f>
        <v>25606.24365884986</v>
      </c>
      <c r="R80" s="5">
        <f>'sv07'!$AA$4+'sv07'!$Z$4*($B80-$O80/3600)+'sv07'!$Y$4*($B80-$O80/3600)^2+'sv07'!$X$4*($B80-$O80/3600)^3+'sv07'!$W$4*($B80-$O80/3600)^4+'sv07'!$V$4*($B80-$O80/3600)^5+'sv07'!$U$4*($B80-$O80/3600)^6+'sv07'!$T$4*($B80-$O80/3600)^7+'sv07'!$S$4*($B80-$O80/3600)^8-J80*coord!$B$7*O80</f>
        <v>6400.036506388712</v>
      </c>
      <c r="S80" s="5">
        <f>'sv07'!$AA$5+'sv07'!$Z$5*($B80-$O80/3600)+'sv07'!$Y$5*($B80-$O80/3600)^2+'sv07'!$X$5*($B80-$O80/3600)^3+'sv07'!$W$5*($B80-$O80/3600)^4+'sv07'!$V$5*($B80-$O80/3600)^5+'sv07'!$U$5*($B80-$O80/3600)^6+'sv07'!$T$5*($B80-$O80/3600)^7+'sv07'!$S$5*($B80-$O80/3600)^8</f>
        <v>3688.1466464358145</v>
      </c>
      <c r="T80">
        <f>coord!$B$6*M80/10^6</f>
        <v>-191.18652369038884</v>
      </c>
      <c r="U80">
        <f>SQRT(($Q80*1000+coord!$B$7*$O80*$R80*1000-coord!$B$2)^2+($R80*1000-coord!$B$7*$O80*$Q80*1000-coord!$C$2)^2+($S80*1000-coord!$D$2)^2)</f>
        <v>21928259.791709982</v>
      </c>
      <c r="V80" s="3">
        <f>$D80-(U80-$T80)-coord!$E$2</f>
        <v>-2.9472336731851101</v>
      </c>
      <c r="W80" s="3" t="s">
        <v>127</v>
      </c>
      <c r="X80" s="1" t="s">
        <v>128</v>
      </c>
      <c r="Y80">
        <f>-(Q80*1000-coord!$B$2)/$U80</f>
        <v>-0.96758090653737716</v>
      </c>
      <c r="Z80">
        <f>-(R80*1000-coord!$C$2)/$U80</f>
        <v>-0.24969907987220771</v>
      </c>
      <c r="AA80">
        <f>-(S80*1000-coord!$D$2)/$U80</f>
        <v>3.7916443701497611E-2</v>
      </c>
      <c r="AB80">
        <v>1</v>
      </c>
      <c r="BA80">
        <f>SQRT(($Q80*1000+coord!$B$7*$O80*$R80*1000-coord!$B$2-AX$74)^2+($R80*1000-coord!$B$7*$O80*$Q80*1000-coord!$C$2-AX$75)^2+($S80*1000-coord!$D$2-AX$76)^2)</f>
        <v>21928256.747715075</v>
      </c>
      <c r="BB80" s="3">
        <f t="shared" si="18"/>
        <v>-5.8703873667624009</v>
      </c>
      <c r="BC80" s="3" t="s">
        <v>127</v>
      </c>
      <c r="BD80" s="1" t="s">
        <v>128</v>
      </c>
      <c r="BE80" s="1"/>
      <c r="BF80" s="1"/>
      <c r="CD80" s="1"/>
      <c r="CE80" s="1"/>
      <c r="CF80" s="1"/>
    </row>
    <row r="81" spans="1:108">
      <c r="V81" s="3"/>
      <c r="W81" s="3">
        <f>AVERAGE($V74:$V80)</f>
        <v>-5.6256839750068526</v>
      </c>
      <c r="X81" s="1">
        <f>SQRT(DEVSQ($V74:$V80)/6)</f>
        <v>15.618890966765774</v>
      </c>
      <c r="BB81" s="3"/>
      <c r="BC81" s="3">
        <f>AVERAGE($BB74:$BB80)</f>
        <v>6.2989414520383692E-5</v>
      </c>
      <c r="BD81" s="1">
        <f>SQRT(DEVSQ($BB74:$BB80)/6)</f>
        <v>4.799570254042469</v>
      </c>
      <c r="BE81" s="1"/>
      <c r="BF81" s="1"/>
      <c r="CD81" s="1"/>
      <c r="CE81" s="1"/>
      <c r="CF81" s="1"/>
    </row>
    <row r="82" spans="1:108">
      <c r="A82">
        <v>24</v>
      </c>
      <c r="B82">
        <f t="shared" ref="B82:B144" si="19">(60-45)/60+30*A82/3600</f>
        <v>0.45</v>
      </c>
      <c r="C82">
        <v>2</v>
      </c>
      <c r="D82">
        <v>22599114.969999999</v>
      </c>
      <c r="E82">
        <v>118759153.13248</v>
      </c>
      <c r="F82">
        <v>2250.7919999999999</v>
      </c>
      <c r="G82">
        <v>22599112.061999999</v>
      </c>
      <c r="H82">
        <v>92539589.18547</v>
      </c>
      <c r="J82" s="5">
        <f>'sv02'!$AA$3+'sv02'!$Z$3*($B82)+'sv02'!$Y$3*($B82)^2+'sv02'!$X$3*($B82)^3+'sv02'!$W$3*($B82)^4+'sv02'!$V$3*($B82)^5+'sv02'!$U$3*($B82)^6+'sv02'!$T$3*($B82)^7+'sv02'!$S$3*($B82)^8</f>
        <v>7490.3639764489599</v>
      </c>
      <c r="K82" s="5">
        <f>'sv02'!$AA$4+'sv02'!$Z$4*($B82)+'sv02'!$Y$4*($B82)^2+'sv02'!$X$4*($B82)^3+'sv02'!$W$4*($B82)^4+'sv02'!$V$4*($B82)^5+'sv02'!$U$4*($B82)^6+'sv02'!$T$4*($B82)^7+'sv02'!$S$4*($B82)^8</f>
        <v>-14470.58467973842</v>
      </c>
      <c r="L82" s="5">
        <f>'sv02'!$AA$5+'sv02'!$Z$5*($B82)+'sv02'!$Y$5*($B82)^2+'sv02'!$X$5*($B82)^3+'sv02'!$W$5*($B82)^4+'sv02'!$V$5*($B82)^5+'sv02'!$U$5*($B82)^6+'sv02'!$T$5*($B82)^7+'sv02'!$S$5*($B82)^8</f>
        <v>20877.597463308066</v>
      </c>
      <c r="M82" s="5">
        <f>'sv02'!$AA$6+'sv02'!$Z$6*$B82+'sv02'!$Y$6*$B82^2+'sv02'!$X$6*$B82^3+'sv02'!$W$6*$B82^4+'sv02'!$V$6*$B82^5+'sv02'!$U$6*$B82^6+'sv02'!$T$6*$B82^7+'sv02'!$S$6*$B82^8</f>
        <v>257.59211758388949</v>
      </c>
      <c r="O82">
        <f>SQRT(($J82*1000-coord!$B$2)^2+($K82*1000-coord!$C$2)^2+($L82*1000-coord!$D$2)^2)/coord!$B$6</f>
        <v>7.5639986925950725E-2</v>
      </c>
      <c r="Q82" s="5">
        <f>'sv02'!$AA$3+'sv02'!$Z$3*($B82-$O82/3600)+'sv02'!$Y$3*($B82-$O82/3600)^2+'sv02'!$X$3*($B82-$O82/3600)^3+'sv02'!$W$3*($B82-$O82/3600)^4+'sv02'!$V$3*($B82-$O82/3600)^5+'sv02'!$U$3*($B82-$O82/3600)^6+'sv02'!$T$3*($B82-$O82/3600)^7+'sv02'!$S$3*($B82-$O82/3600)^8+K82*coord!$B$7*O82</f>
        <v>7490.0842535727606</v>
      </c>
      <c r="R82" s="5">
        <f>'sv02'!$AA$4+'sv02'!$Z$4*($B82-$O82/3600)+'sv02'!$Y$4*($B82-$O82/3600)^2+'sv02'!$X$4*($B82-$O82/3600)^3+'sv02'!$W$4*($B82-$O82/3600)^4+'sv02'!$V$4*($B82-$O82/3600)^5+'sv02'!$U$4*($B82-$O82/3600)^6+'sv02'!$T$4*($B82-$O82/3600)^7+'sv02'!$S$4*($B82-$O82/3600)^8-J82*coord!$B$7*O82</f>
        <v>-14470.657041070715</v>
      </c>
      <c r="S82" s="5">
        <f>'sv02'!$AA$5+'sv02'!$Z$5*($B82-$O82/3600)+'sv02'!$Y$5*($B82-$O82/3600)^2+'sv02'!$X$5*($B82-$O82/3600)^3+'sv02'!$W$5*($B82-$O82/3600)^4+'sv02'!$V$5*($B82-$O82/3600)^5+'sv02'!$U$5*($B82-$O82/3600)^6+'sv02'!$T$5*($B82-$O82/3600)^7+'sv02'!$S$5*($B82-$O82/3600)^8</f>
        <v>20877.651060422628</v>
      </c>
      <c r="T82">
        <f>coord!$B$6*M82/10^6</f>
        <v>77224.174091899244</v>
      </c>
      <c r="U82">
        <f>SQRT(($Q82*1000+coord!$B$7*$O82*$R82*1000-coord!$B$2)^2+($R82*1000-coord!$B$7*$O82*$Q82*1000-coord!$C$2)^2+($S82*1000-coord!$D$2)^2)</f>
        <v>22676364.27001318</v>
      </c>
      <c r="V82" s="3">
        <f>$D82-(U82-$T82)-coord!$E$2</f>
        <v>-25.125921282917261</v>
      </c>
      <c r="W82" s="3"/>
      <c r="Y82">
        <f>-(Q82*1000-coord!$B$2)/$U82</f>
        <v>-0.13675940489603708</v>
      </c>
      <c r="Z82">
        <f>-(R82*1000-coord!$C$2)/$U82</f>
        <v>0.67891074031779808</v>
      </c>
      <c r="AA82">
        <f>-(S82*1000-coord!$D$2)/$U82</f>
        <v>-0.72137061264949953</v>
      </c>
      <c r="AB82">
        <v>1</v>
      </c>
      <c r="AD82">
        <f t="array" ref="AD82:AJ85">TRANSPOSE(Y82:AB88)</f>
        <v>-0.13675940489603708</v>
      </c>
      <c r="AE82">
        <v>-0.19606606495979104</v>
      </c>
      <c r="AF82">
        <v>-0.15389985524557911</v>
      </c>
      <c r="AG82">
        <v>-0.82223519438843862</v>
      </c>
      <c r="AH82">
        <v>-0.42470994292830427</v>
      </c>
      <c r="AI82">
        <v>-0.49430251334306385</v>
      </c>
      <c r="AJ82">
        <v>-0.96761846798980311</v>
      </c>
      <c r="AL82">
        <f t="array" ref="AL82:AO85">MMULT(AD82:AJ85,Y82:AB88)</f>
        <v>2.1178999269063059</v>
      </c>
      <c r="AM82">
        <v>0.32009398350745477</v>
      </c>
      <c r="AN82">
        <v>1.1255341999861066</v>
      </c>
      <c r="AO82">
        <v>-3.1955914437510171</v>
      </c>
      <c r="AQ82">
        <f t="array" ref="AQ82:AT85">MINVERSE(AL82:AO85)</f>
        <v>2.5509133170324509</v>
      </c>
      <c r="AR82">
        <v>5.0121614383181703E-2</v>
      </c>
      <c r="AS82">
        <v>1.5542744834096469</v>
      </c>
      <c r="AT82">
        <v>1.9301628354901055</v>
      </c>
      <c r="AV82">
        <f t="array" ref="AV82:AV85">MMULT(AD82:AJ85,V82:V88)</f>
        <v>5.6724148793080964</v>
      </c>
      <c r="AX82">
        <f t="array" ref="AX82:AX85">MMULT(AQ82:AT85,AV82:AV85)</f>
        <v>9.9955637008201919</v>
      </c>
      <c r="BA82">
        <f>SQRT(($Q82*1000+coord!$B$7*$O82*$R82*1000-coord!$B$2-AX$82)^2+($R82*1000-coord!$B$7*$O82*$Q82*1000-coord!$C$2-AX$83)^2+($S82*1000-coord!$D$2-AX$84)^2)</f>
        <v>22676336.32269071</v>
      </c>
      <c r="BB82" s="3">
        <f>$D82-(BA82-$T82)-AX$85</f>
        <v>-6.0846752741189079</v>
      </c>
      <c r="BD82" s="1">
        <f>coord!$B$2+$AX82</f>
        <v>4388888.1663637012</v>
      </c>
      <c r="BE82" s="1">
        <f>coord!$C$2+$AX83</f>
        <v>924549.54480774689</v>
      </c>
      <c r="BF82" s="1">
        <f>coord!$D$2+$AX84</f>
        <v>4519605.6694364529</v>
      </c>
      <c r="BG82" s="1">
        <f>coord!$E$2+$AX85</f>
        <v>8.906076460406311</v>
      </c>
      <c r="BH82" s="8">
        <f>lat($BD82,$BE82,$BF82)</f>
        <v>45.411245777026124</v>
      </c>
      <c r="BI82" s="8">
        <f>lon($BD82,$BE82,$BF82)</f>
        <v>11.8958218553222</v>
      </c>
      <c r="BJ82" s="6">
        <f>h($BD82,$BE82,$BF82)</f>
        <v>78.38476521987468</v>
      </c>
      <c r="BL82">
        <f>grado($BH82)</f>
        <v>45</v>
      </c>
      <c r="BM82">
        <f>MINUTOprimo($BH82)</f>
        <v>24</v>
      </c>
      <c r="BN82">
        <f>MINUTOsecondo($BH82)</f>
        <v>40.484797294047894</v>
      </c>
      <c r="BO82">
        <f>grado($BI82)</f>
        <v>11</v>
      </c>
      <c r="BP82">
        <f>MINUTOprimo($BI82)</f>
        <v>53</v>
      </c>
      <c r="BQ82">
        <f>MINUTOsecondo($BI82)</f>
        <v>44.95867915992136</v>
      </c>
      <c r="BS82">
        <f>-SIN(RADIANS(BH82))*COS(RADIANS(BI82))</f>
        <v>-0.69686943097006482</v>
      </c>
      <c r="BT82">
        <f>-SIN(RADIANS(BI82))</f>
        <v>-0.20613282964315921</v>
      </c>
      <c r="BU82">
        <f>COS(RADIANS(BH82))*COS(RADIANS(BI82))</f>
        <v>0.6869368622535571</v>
      </c>
      <c r="BW82" t="s">
        <v>93</v>
      </c>
      <c r="BX82">
        <f t="array" ref="BX82:BZ84">MINVERSE(BS82:BU84)</f>
        <v>-0.69686943097006471</v>
      </c>
      <c r="BY82">
        <v>-0.1468003491480106</v>
      </c>
      <c r="BZ82">
        <v>0.7020132859636492</v>
      </c>
      <c r="CA82">
        <v>0</v>
      </c>
      <c r="CB82" s="1">
        <f t="array" ref="CB82:CB84">MMULT(BX82:BZ84,AX82:AX84)</f>
        <v>8.2801413118054548</v>
      </c>
      <c r="CD82" s="1">
        <f t="array" ref="CD82:CF82">TRANSPOSE(CB82:CB84)</f>
        <v>8.2801413118054548</v>
      </c>
      <c r="CE82" s="1">
        <v>-22.284932091638517</v>
      </c>
      <c r="CF82" s="1">
        <v>16.263627079239392</v>
      </c>
      <c r="CH82">
        <f t="array" ref="CH82:CK85">MMULT(BX82:CA85,AQ82:AT85)</f>
        <v>-0.69389004479781913</v>
      </c>
      <c r="CI82">
        <v>0.15121447742867272</v>
      </c>
      <c r="CJ82">
        <v>0.62730013625092074</v>
      </c>
      <c r="CK82">
        <v>-5.7171397092952159E-3</v>
      </c>
      <c r="CM82">
        <f t="array" ref="CM82:CP85">TRANSPOSE(BX82:CA85)</f>
        <v>-0.69686943097006471</v>
      </c>
      <c r="CN82">
        <v>-0.20613282964315918</v>
      </c>
      <c r="CO82">
        <v>0.68693686225355699</v>
      </c>
      <c r="CP82">
        <v>0</v>
      </c>
      <c r="CR82" s="5">
        <f t="array" ref="CR82:CU85">MMULT(CH82:CK85,CM82:CP85)</f>
        <v>0.90172545252623948</v>
      </c>
      <c r="CS82" s="5">
        <v>0.2910005166404126</v>
      </c>
      <c r="CT82" s="5">
        <v>-8.0362289247585261E-3</v>
      </c>
      <c r="CU82" s="5">
        <v>-5.7171397092952159E-3</v>
      </c>
      <c r="CW82" s="3">
        <f>SQRT(CR82+CS83)</f>
        <v>1.2054166127223271</v>
      </c>
      <c r="CX82" s="3">
        <f>CT84</f>
        <v>4.0946266963682021</v>
      </c>
      <c r="CY82" s="3">
        <f>CU85</f>
        <v>1.9878316581862587</v>
      </c>
      <c r="CZ82" s="3">
        <f>BD89</f>
        <v>4.9015172149172939</v>
      </c>
      <c r="DA82">
        <v>6</v>
      </c>
      <c r="DB82" s="6">
        <f>CY82*DA82*CZ82</f>
        <v>58.460346557745218</v>
      </c>
      <c r="DC82">
        <v>5.33</v>
      </c>
      <c r="DD82" s="6">
        <f>CZ82*DC82*SQRT(0.5*(CR82+CS83)+SQRT((0.5*(CR82-CS83))^2+CS82^2))</f>
        <v>26.975858441678461</v>
      </c>
    </row>
    <row r="83" spans="1:108">
      <c r="A83">
        <v>24</v>
      </c>
      <c r="B83">
        <f t="shared" si="19"/>
        <v>0.45</v>
      </c>
      <c r="C83">
        <v>23</v>
      </c>
      <c r="D83">
        <v>21103831.783</v>
      </c>
      <c r="E83">
        <v>110901382.35349</v>
      </c>
      <c r="F83">
        <v>-1937.6410000000001</v>
      </c>
      <c r="G83">
        <v>21103828.147999998</v>
      </c>
      <c r="H83">
        <v>86416647.956469998</v>
      </c>
      <c r="J83" s="5">
        <f>'sv23'!$AA$3+'sv23'!$Z$3*($B83)+'sv23'!$Y$3*($B83)^2+'sv23'!$X$3*($B83)^3+'sv23'!$W$3*($B83)^4+'sv23'!$V$3*($B83)^5+'sv23'!$U$3*($B83)^6+'sv23'!$T$3*($B83)^7+'sv23'!$S$3*($B83)^8</f>
        <v>8548.18466857776</v>
      </c>
      <c r="K83" s="5">
        <f>'sv23'!$AA$4+'sv23'!$Z$4*($B83)+'sv23'!$Y$4*($B83)^2+'sv23'!$X$4*($B83)^3+'sv23'!$W$4*($B83)^4+'sv23'!$V$4*($B83)^5+'sv23'!$U$4*($B83)^6+'sv23'!$T$4*($B83)^7+'sv23'!$S$4*($B83)^8</f>
        <v>13025.419402208936</v>
      </c>
      <c r="L83" s="5">
        <f>'sv23'!$AA$5+'sv23'!$Z$5*($B83)+'sv23'!$Y$5*($B83)^2+'sv23'!$X$5*($B83)^3+'sv23'!$W$5*($B83)^4+'sv23'!$V$5*($B83)^5+'sv23'!$U$5*($B83)^6+'sv23'!$T$5*($B83)^7+'sv23'!$S$5*($B83)^8</f>
        <v>21441.119515026505</v>
      </c>
      <c r="M83" s="5">
        <f>'sv23'!$AA$6+'sv23'!$Z$6*$B83+'sv23'!$Y$6*$B83^2+'sv23'!$X$6*$B83^3+'sv23'!$W$6*$B83^4+'sv23'!$V$6*$B83^5+'sv23'!$U$6*$B83^6+'sv23'!$T$6*$B83^7+'sv23'!$S$6*$B83^8</f>
        <v>370.05659616365114</v>
      </c>
      <c r="O83">
        <f>SQRT(($J83*1000-coord!$B$2)^2+($K83*1000-coord!$C$2)^2+($L83*1000-coord!$D$2)^2)/coord!$B$6</f>
        <v>7.0765023445066438E-2</v>
      </c>
      <c r="Q83" s="5">
        <f>'sv23'!$AA$3+'sv23'!$Z$3*($B83-$O83/3600)+'sv23'!$Y$3*($B83-$O83/3600)^2+'sv23'!$X$3*($B83-$O83/3600)^3+'sv23'!$W$3*($B83-$O83/3600)^4+'sv23'!$V$3*($B83-$O83/3600)^5+'sv23'!$U$3*($B83-$O83/3600)^6+'sv23'!$T$3*($B83-$O83/3600)^7+'sv23'!$S$3*($B83-$O83/3600)^8+K83*coord!$B$7*O83</f>
        <v>8548.3746956557334</v>
      </c>
      <c r="R83" s="5">
        <f>'sv23'!$AA$4+'sv23'!$Z$4*($B83-$O83/3600)+'sv23'!$Y$4*($B83-$O83/3600)^2+'sv23'!$X$4*($B83-$O83/3600)^3+'sv23'!$W$4*($B83-$O83/3600)^4+'sv23'!$V$4*($B83-$O83/3600)^5+'sv23'!$U$4*($B83-$O83/3600)^6+'sv23'!$T$4*($B83-$O83/3600)^7+'sv23'!$S$4*($B83-$O83/3600)^8-J83*coord!$B$7*O83</f>
        <v>13025.225935158005</v>
      </c>
      <c r="S83" s="5">
        <f>'sv23'!$AA$5+'sv23'!$Z$5*($B83-$O83/3600)+'sv23'!$Y$5*($B83-$O83/3600)^2+'sv23'!$X$5*($B83-$O83/3600)^3+'sv23'!$W$5*($B83-$O83/3600)^4+'sv23'!$V$5*($B83-$O83/3600)^5+'sv23'!$U$5*($B83-$O83/3600)^6+'sv23'!$T$5*($B83-$O83/3600)^7+'sv23'!$S$5*($B83-$O83/3600)^8</f>
        <v>21441.163424335107</v>
      </c>
      <c r="T83">
        <f>coord!$B$6*M83/10^6</f>
        <v>110940.17656301435</v>
      </c>
      <c r="U83">
        <f>SQRT(($Q83*1000+coord!$B$7*$O83*$R83*1000-coord!$B$2)^2+($R83*1000-coord!$B$7*$O83*$Q83*1000-coord!$C$2)^2+($S83*1000-coord!$D$2)^2)</f>
        <v>21214770.264853109</v>
      </c>
      <c r="V83" s="3">
        <f>$D83-(U83-$T83)-coord!$E$2</f>
        <v>1.6947099044919014</v>
      </c>
      <c r="W83" s="3"/>
      <c r="Y83">
        <f>-(Q83*1000-coord!$B$2)/$U83</f>
        <v>-0.19606606495979104</v>
      </c>
      <c r="Z83">
        <f>-(R83*1000-coord!$C$2)/$U83</f>
        <v>-0.57038825171750174</v>
      </c>
      <c r="AA83">
        <f>-(S83*1000-coord!$D$2)/$U83</f>
        <v>-0.79763178855013972</v>
      </c>
      <c r="AB83">
        <v>1</v>
      </c>
      <c r="AD83">
        <v>0.67891074031779808</v>
      </c>
      <c r="AE83">
        <v>-0.57038825171750174</v>
      </c>
      <c r="AF83">
        <v>0.76536172982290729</v>
      </c>
      <c r="AG83">
        <v>0.37645136564054149</v>
      </c>
      <c r="AH83">
        <v>-0.90440707437143675</v>
      </c>
      <c r="AI83">
        <v>-0.20303494458355154</v>
      </c>
      <c r="AJ83">
        <v>-0.2521209560161049</v>
      </c>
      <c r="AL83">
        <v>0.32009398350745477</v>
      </c>
      <c r="AM83">
        <v>2.436497080543973</v>
      </c>
      <c r="AN83">
        <v>-0.46827412375987976</v>
      </c>
      <c r="AO83">
        <v>-0.10922739090734807</v>
      </c>
      <c r="AQ83">
        <v>5.0121614383181225E-2</v>
      </c>
      <c r="AR83">
        <v>0.48368535800997886</v>
      </c>
      <c r="AS83">
        <v>0.36630058561333578</v>
      </c>
      <c r="AT83">
        <v>0.21068437091591297</v>
      </c>
      <c r="AV83">
        <v>-56.277437357163635</v>
      </c>
      <c r="AX83">
        <v>-20.668392253166139</v>
      </c>
      <c r="BA83">
        <f>SQRT(($Q83*1000+coord!$B$7*$O83*$R83*1000-coord!$B$2-AX$82)^2+($R83*1000-coord!$B$7*$O83*$Q83*1000-coord!$C$2-AX$83)^2+($S83*1000-coord!$D$2-AX$84)^2)</f>
        <v>21214766.219101116</v>
      </c>
      <c r="BB83" s="3">
        <f t="shared" ref="BB83:BB88" si="20">$D83-(BA83-$T83)-AX$85</f>
        <v>-3.1656145633013324</v>
      </c>
      <c r="BD83" s="1"/>
      <c r="BE83" s="1"/>
      <c r="BF83" s="1"/>
      <c r="BS83">
        <f>-SIN(RADIANS(BH82))*SIN(RADIANS(BI82))</f>
        <v>-0.1468003491480106</v>
      </c>
      <c r="BT83">
        <f>COS(RADIANS(BI82))</f>
        <v>0.97852401940029266</v>
      </c>
      <c r="BU83">
        <f>COS(RADIANS(BH82))*SIN(RADIANS(BI82))</f>
        <v>0.14470798508277932</v>
      </c>
      <c r="BW83" t="s">
        <v>94</v>
      </c>
      <c r="BX83">
        <v>-0.20613282964315918</v>
      </c>
      <c r="BY83">
        <v>0.97852401940029266</v>
      </c>
      <c r="BZ83">
        <v>0</v>
      </c>
      <c r="CA83">
        <v>0</v>
      </c>
      <c r="CB83" s="1">
        <v>-22.284932091638517</v>
      </c>
      <c r="CD83" s="1"/>
      <c r="CE83" s="1"/>
      <c r="CF83" s="1"/>
      <c r="CH83">
        <v>-0.47678177664925425</v>
      </c>
      <c r="CI83">
        <v>0.46296603044590556</v>
      </c>
      <c r="CJ83">
        <v>3.8046924035652352E-2</v>
      </c>
      <c r="CK83">
        <v>-0.19171020949817771</v>
      </c>
      <c r="CM83">
        <v>-0.1468003491480106</v>
      </c>
      <c r="CN83">
        <v>0.97852401940029266</v>
      </c>
      <c r="CO83">
        <v>0.14470798508277929</v>
      </c>
      <c r="CP83">
        <v>0</v>
      </c>
      <c r="CR83" s="5">
        <v>0.29100051664041249</v>
      </c>
      <c r="CS83" s="5">
        <v>0.55130375770072926</v>
      </c>
      <c r="CT83" s="5">
        <v>-0.23342845237952844</v>
      </c>
      <c r="CU83" s="5">
        <v>-0.19171020949817771</v>
      </c>
    </row>
    <row r="84" spans="1:108">
      <c r="A84">
        <v>24</v>
      </c>
      <c r="B84">
        <f t="shared" si="19"/>
        <v>0.45</v>
      </c>
      <c r="C84">
        <v>10</v>
      </c>
      <c r="D84">
        <v>22925648.750999998</v>
      </c>
      <c r="E84">
        <v>120475101.76248001</v>
      </c>
      <c r="F84">
        <v>3030.163</v>
      </c>
      <c r="G84">
        <v>22925649.495000001</v>
      </c>
      <c r="H84">
        <v>93876706.168469995</v>
      </c>
      <c r="J84" s="5">
        <f>'sv10'!$AA$3+'sv10'!$Z$3*($B84)+'sv10'!$Y$3*($B84)^2+'sv10'!$X$3*($B84)^3+'sv10'!$W$3*($B84)^4+'sv10'!$V$3*($B84)^5+'sv10'!$U$3*($B84)^6+'sv10'!$T$3*($B84)^7+'sv10'!$S$3*($B84)^8</f>
        <v>7915.3225557644246</v>
      </c>
      <c r="K84" s="5">
        <f>'sv10'!$AA$4+'sv10'!$Z$4*($B84)+'sv10'!$Y$4*($B84)^2+'sv10'!$X$4*($B84)^3+'sv10'!$W$4*($B84)^4+'sv10'!$V$4*($B84)^5+'sv10'!$U$4*($B84)^6+'sv10'!$T$4*($B84)^7+'sv10'!$S$4*($B84)^8</f>
        <v>-16611.775035929335</v>
      </c>
      <c r="L84" s="5">
        <f>'sv10'!$AA$5+'sv10'!$Z$5*($B84)+'sv10'!$Y$5*($B84)^2+'sv10'!$X$5*($B84)^3+'sv10'!$W$5*($B84)^4+'sv10'!$V$5*($B84)^5+'sv10'!$U$5*($B84)^6+'sv10'!$T$5*($B84)^7+'sv10'!$S$5*($B84)^8</f>
        <v>18838.53066621254</v>
      </c>
      <c r="M84" s="5">
        <f>'sv10'!$AA$6+'sv10'!$Z$6*$B84+'sv10'!$Y$6*$B84^2+'sv10'!$X$6*$B84^3+'sv10'!$W$6*$B84^4+'sv10'!$V$6*$B84^5+'sv10'!$U$6*$B84^6+'sv10'!$T$6*$B84^7+'sv10'!$S$6*$B84^8</f>
        <v>-43.001419332258884</v>
      </c>
      <c r="O84">
        <f>SQRT(($J84*1000-coord!$B$2)^2+($K84*1000-coord!$C$2)^2+($L84*1000-coord!$D$2)^2)/coord!$B$6</f>
        <v>7.6428504382353921E-2</v>
      </c>
      <c r="Q84" s="5">
        <f>'sv10'!$AA$3+'sv10'!$Z$3*($B84-$O84/3600)+'sv10'!$Y$3*($B84-$O84/3600)^2+'sv10'!$X$3*($B84-$O84/3600)^3+'sv10'!$W$3*($B84-$O84/3600)^4+'sv10'!$V$3*($B84-$O84/3600)^5+'sv10'!$U$3*($B84-$O84/3600)^6+'sv10'!$T$3*($B84-$O84/3600)^7+'sv10'!$S$3*($B84-$O84/3600)^8+K84*coord!$B$7*O84</f>
        <v>7915.150509577692</v>
      </c>
      <c r="R84" s="5">
        <f>'sv10'!$AA$4+'sv10'!$Z$4*($B84-$O84/3600)+'sv10'!$Y$4*($B84-$O84/3600)^2+'sv10'!$X$4*($B84-$O84/3600)^3+'sv10'!$W$4*($B84-$O84/3600)^4+'sv10'!$V$4*($B84-$O84/3600)^5+'sv10'!$U$4*($B84-$O84/3600)^6+'sv10'!$T$4*($B84-$O84/3600)^7+'sv10'!$S$4*($B84-$O84/3600)^8-J84*coord!$B$7*O84</f>
        <v>-16611.988822069721</v>
      </c>
      <c r="S84" s="5">
        <f>'sv10'!$AA$5+'sv10'!$Z$5*($B84-$O84/3600)+'sv10'!$Y$5*($B84-$O84/3600)^2+'sv10'!$X$5*($B84-$O84/3600)^3+'sv10'!$W$5*($B84-$O84/3600)^4+'sv10'!$V$5*($B84-$O84/3600)^5+'sv10'!$U$5*($B84-$O84/3600)^6+'sv10'!$T$5*($B84-$O84/3600)^7+'sv10'!$S$5*($B84-$O84/3600)^8</f>
        <v>18838.412959953526</v>
      </c>
      <c r="T84">
        <f>coord!$B$6*M84/10^6</f>
        <v>-12891.501199106609</v>
      </c>
      <c r="U84">
        <f>SQRT(($Q84*1000+coord!$B$7*$O84*$R84*1000-coord!$B$2)^2+($R84*1000-coord!$B$7*$O84*$Q84*1000-coord!$C$2)^2+($S84*1000-coord!$D$2)^2)</f>
        <v>22912772.290466376</v>
      </c>
      <c r="V84" s="3">
        <f>$D84-(U84-$T84)-coord!$E$2</f>
        <v>-15.040665484964848</v>
      </c>
      <c r="W84" s="3"/>
      <c r="Y84">
        <f>-(Q84*1000-coord!$B$2)/$U84</f>
        <v>-0.15389985524557911</v>
      </c>
      <c r="Z84">
        <f>-(R84*1000-coord!$C$2)/$U84</f>
        <v>0.76536172982290729</v>
      </c>
      <c r="AA84">
        <f>-(S84*1000-coord!$D$2)/$U84</f>
        <v>-0.62492763879172109</v>
      </c>
      <c r="AB84">
        <v>1</v>
      </c>
      <c r="AD84">
        <v>-0.72137061264949953</v>
      </c>
      <c r="AE84">
        <v>-0.79763178855013972</v>
      </c>
      <c r="AF84">
        <v>-0.62492763879172109</v>
      </c>
      <c r="AG84">
        <v>-0.42686353885172323</v>
      </c>
      <c r="AH84">
        <v>-4.0878455635870121E-2</v>
      </c>
      <c r="AI84">
        <v>-0.84524673778513115</v>
      </c>
      <c r="AJ84">
        <v>1.2232210943842591E-2</v>
      </c>
      <c r="AL84">
        <v>1.1255341999861066</v>
      </c>
      <c r="AM84">
        <v>-0.46827412375987976</v>
      </c>
      <c r="AN84">
        <v>2.4456017882829766</v>
      </c>
      <c r="AO84">
        <v>-3.4446865613202426</v>
      </c>
      <c r="AQ84">
        <v>1.5542744834096449</v>
      </c>
      <c r="AR84">
        <v>0.36630058561333589</v>
      </c>
      <c r="AS84">
        <v>2.5130572315527413</v>
      </c>
      <c r="AT84">
        <v>1.9519329672910215</v>
      </c>
      <c r="AV84">
        <v>32.791756984821859</v>
      </c>
      <c r="AX84">
        <v>17.395136452959605</v>
      </c>
      <c r="BA84">
        <f>SQRT(($Q84*1000+coord!$B$7*$O84*$R84*1000-coord!$B$2-AX$82)^2+($R84*1000-coord!$B$7*$O84*$Q84*1000-coord!$C$2-AX$83)^2+($S84*1000-coord!$D$2-AX$84)^2)</f>
        <v>22912744.062653888</v>
      </c>
      <c r="BB84" s="3">
        <f t="shared" si="20"/>
        <v>4.2810705422608777</v>
      </c>
      <c r="BD84" s="1"/>
      <c r="BE84" s="1"/>
      <c r="BF84" s="1"/>
      <c r="BS84">
        <f>COS(RADIANS(BH82))</f>
        <v>0.7020132859636492</v>
      </c>
      <c r="BT84">
        <v>0</v>
      </c>
      <c r="BU84">
        <f>SIN(RADIANS(BH82))</f>
        <v>0.71216384795250576</v>
      </c>
      <c r="BW84" t="s">
        <v>95</v>
      </c>
      <c r="BX84">
        <v>0.68693686225355699</v>
      </c>
      <c r="BY84">
        <v>0.14470798508277929</v>
      </c>
      <c r="BZ84">
        <v>0.71216384795250565</v>
      </c>
      <c r="CA84">
        <v>0</v>
      </c>
      <c r="CB84" s="1">
        <v>16.263627079239392</v>
      </c>
      <c r="CD84" s="1"/>
      <c r="CE84" s="1"/>
      <c r="CF84" s="1"/>
      <c r="CH84">
        <v>2.8664674845889766</v>
      </c>
      <c r="CI84">
        <v>0.36528955264478191</v>
      </c>
      <c r="CJ84">
        <v>2.9104035645404105</v>
      </c>
      <c r="CK84">
        <v>2.7464838055850027</v>
      </c>
      <c r="CM84">
        <v>0.7020132859636492</v>
      </c>
      <c r="CN84">
        <v>0</v>
      </c>
      <c r="CO84">
        <v>0.71216384795250565</v>
      </c>
      <c r="CP84">
        <v>0</v>
      </c>
      <c r="CR84" s="5">
        <v>-8.0362289247561947E-3</v>
      </c>
      <c r="CS84" s="5">
        <v>-0.23342845237952775</v>
      </c>
      <c r="CT84" s="5">
        <v>4.0946266963682021</v>
      </c>
      <c r="CU84" s="5">
        <v>2.7464838055850027</v>
      </c>
    </row>
    <row r="85" spans="1:108">
      <c r="A85">
        <v>24</v>
      </c>
      <c r="B85">
        <f t="shared" si="19"/>
        <v>0.45</v>
      </c>
      <c r="C85">
        <v>4</v>
      </c>
      <c r="D85">
        <v>21152895.000999998</v>
      </c>
      <c r="E85">
        <v>111159210.52349</v>
      </c>
      <c r="F85">
        <v>-964.70600000000002</v>
      </c>
      <c r="G85">
        <v>21152894.159000002</v>
      </c>
      <c r="H85">
        <v>86617563.444470003</v>
      </c>
      <c r="J85" s="5">
        <f>'sv04'!$AA$3+'sv04'!$Z$3*($B85)+'sv04'!$Y$3*($B85)^2+'sv04'!$X$3*($B85)^3+'sv04'!$W$3*($B85)^4+'sv04'!$V$3*($B85)^5+'sv04'!$U$3*($B85)^6+'sv04'!$T$3*($B85)^7+'sv04'!$S$3*($B85)^8</f>
        <v>21803.04405879102</v>
      </c>
      <c r="K85" s="5">
        <f>'sv04'!$AA$4+'sv04'!$Z$4*($B85)+'sv04'!$Y$4*($B85)^2+'sv04'!$X$4*($B85)^3+'sv04'!$W$4*($B85)^4+'sv04'!$V$4*($B85)^5+'sv04'!$U$4*($B85)^6+'sv04'!$T$4*($B85)^7+'sv04'!$S$4*($B85)^8</f>
        <v>-7048.0968309088785</v>
      </c>
      <c r="L85" s="5">
        <f>'sv04'!$AA$5+'sv04'!$Z$5*($B85)+'sv04'!$Y$5*($B85)^2+'sv04'!$X$5*($B85)^3+'sv04'!$W$5*($B85)^4+'sv04'!$V$5*($B85)^5+'sv04'!$U$5*($B85)^6+'sv04'!$T$5*($B85)^7+'sv04'!$S$5*($B85)^8</f>
        <v>13559.904814490923</v>
      </c>
      <c r="M85" s="5">
        <f>'sv04'!$AA$6+'sv04'!$Z$6*$B85+'sv04'!$Y$6*$B85^2+'sv04'!$X$6*$B85^3+'sv04'!$W$6*$B85^4+'sv04'!$V$6*$B85^5+'sv04'!$U$6*$B85^6+'sv04'!$T$6*$B85^7+'sv04'!$S$6*$B85^8</f>
        <v>86.600783912842701</v>
      </c>
      <c r="O85">
        <f>SQRT(($J85*1000-coord!$B$2)^2+($K85*1000-coord!$C$2)^2+($L85*1000-coord!$D$2)^2)/coord!$B$6</f>
        <v>7.064505742482978E-2</v>
      </c>
      <c r="Q85" s="5">
        <f>'sv04'!$AA$3+'sv04'!$Z$3*($B85-$O85/3600)+'sv04'!$Y$3*($B85-$O85/3600)^2+'sv04'!$X$3*($B85-$O85/3600)^3+'sv04'!$W$3*($B85-$O85/3600)^4+'sv04'!$V$3*($B85-$O85/3600)^5+'sv04'!$U$3*($B85-$O85/3600)^6+'sv04'!$T$3*($B85-$O85/3600)^7+'sv04'!$S$3*($B85-$O85/3600)^8+K85*coord!$B$7*O85</f>
        <v>21802.888242808425</v>
      </c>
      <c r="R85" s="5">
        <f>'sv04'!$AA$4+'sv04'!$Z$4*($B85-$O85/3600)+'sv04'!$Y$4*($B85-$O85/3600)^2+'sv04'!$X$4*($B85-$O85/3600)^3+'sv04'!$W$4*($B85-$O85/3600)^4+'sv04'!$V$4*($B85-$O85/3600)^5+'sv04'!$U$4*($B85-$O85/3600)^6+'sv04'!$T$4*($B85-$O85/3600)^7+'sv04'!$S$4*($B85-$O85/3600)^8-J85*coord!$B$7*O85</f>
        <v>-7048.2433049097181</v>
      </c>
      <c r="S85" s="5">
        <f>'sv04'!$AA$5+'sv04'!$Z$5*($B85-$O85/3600)+'sv04'!$Y$5*($B85-$O85/3600)^2+'sv04'!$X$5*($B85-$O85/3600)^3+'sv04'!$W$5*($B85-$O85/3600)^4+'sv04'!$V$5*($B85-$O85/3600)^5+'sv04'!$U$5*($B85-$O85/3600)^6+'sv04'!$T$5*($B85-$O85/3600)^7+'sv04'!$S$5*($B85-$O85/3600)^8</f>
        <v>13560.074519194784</v>
      </c>
      <c r="T85">
        <f>coord!$B$6*M85/10^6</f>
        <v>25962.26187395797</v>
      </c>
      <c r="U85">
        <f>SQRT(($Q85*1000+coord!$B$7*$O85*$R85*1000-coord!$B$2)^2+($R85*1000-coord!$B$7*$O85*$Q85*1000-coord!$C$2)^2+($S85*1000-coord!$D$2)^2)</f>
        <v>21178867.300809961</v>
      </c>
      <c r="V85" s="3">
        <f>$D85-(U85-$T85)-coord!$E$2</f>
        <v>-10.037936005741358</v>
      </c>
      <c r="W85" s="3"/>
      <c r="Y85">
        <f>-(Q85*1000-coord!$B$2)/$U85</f>
        <v>-0.82223519438843862</v>
      </c>
      <c r="Z85">
        <f>-(R85*1000-coord!$C$2)/$U85</f>
        <v>0.37645136564054149</v>
      </c>
      <c r="AA85">
        <f>-(S85*1000-coord!$D$2)/$U85</f>
        <v>-0.42686353885172323</v>
      </c>
      <c r="AB85">
        <v>1</v>
      </c>
      <c r="AD85">
        <v>1</v>
      </c>
      <c r="AE85">
        <v>1</v>
      </c>
      <c r="AF85">
        <v>1</v>
      </c>
      <c r="AG85">
        <v>1</v>
      </c>
      <c r="AH85">
        <v>1</v>
      </c>
      <c r="AI85">
        <v>1</v>
      </c>
      <c r="AJ85">
        <v>1</v>
      </c>
      <c r="AL85">
        <v>-3.1955914437510171</v>
      </c>
      <c r="AM85">
        <v>-0.10922739090734807</v>
      </c>
      <c r="AN85">
        <v>-3.4446865613202426</v>
      </c>
      <c r="AO85">
        <v>7</v>
      </c>
      <c r="AQ85">
        <v>1.9301628354901046</v>
      </c>
      <c r="AR85">
        <v>0.21068437091591327</v>
      </c>
      <c r="AS85">
        <v>1.9519329672910226</v>
      </c>
      <c r="AT85">
        <v>1.9878316581862587</v>
      </c>
      <c r="AV85">
        <v>-27.262440826743841</v>
      </c>
      <c r="AX85">
        <v>8.906076460406311</v>
      </c>
      <c r="BA85">
        <f>SQRT(($Q85*1000+coord!$B$7*$O85*$R85*1000-coord!$B$2-AX$82)^2+($R85*1000-coord!$B$7*$O85*$Q85*1000-coord!$C$2-AX$83)^2+($S85*1000-coord!$D$2-AX$84)^2)</f>
        <v>21178843.876025863</v>
      </c>
      <c r="BB85" s="3">
        <f t="shared" si="20"/>
        <v>4.4807716316728516</v>
      </c>
      <c r="BD85" s="1"/>
      <c r="BE85" s="1"/>
      <c r="BF85" s="1"/>
      <c r="BX85">
        <v>0</v>
      </c>
      <c r="BY85">
        <v>0</v>
      </c>
      <c r="BZ85">
        <v>0</v>
      </c>
      <c r="CA85">
        <v>1</v>
      </c>
      <c r="CD85" s="1"/>
      <c r="CE85" s="1"/>
      <c r="CF85" s="1"/>
      <c r="CH85">
        <v>1.9301628354901046</v>
      </c>
      <c r="CI85">
        <v>0.21068437091591327</v>
      </c>
      <c r="CJ85">
        <v>1.9519329672910226</v>
      </c>
      <c r="CK85">
        <v>1.9878316581862587</v>
      </c>
      <c r="CM85">
        <v>0</v>
      </c>
      <c r="CN85">
        <v>0</v>
      </c>
      <c r="CO85">
        <v>0</v>
      </c>
      <c r="CP85">
        <v>1</v>
      </c>
      <c r="CR85" s="5">
        <v>-5.7171397092938836E-3</v>
      </c>
      <c r="CS85" s="5">
        <v>-0.19171020949817724</v>
      </c>
      <c r="CT85" s="5">
        <v>2.7464838055850027</v>
      </c>
      <c r="CU85" s="5">
        <v>1.9878316581862587</v>
      </c>
    </row>
    <row r="86" spans="1:108">
      <c r="A86">
        <v>24</v>
      </c>
      <c r="B86">
        <f t="shared" si="19"/>
        <v>0.45</v>
      </c>
      <c r="C86">
        <v>20</v>
      </c>
      <c r="D86">
        <v>23042899.653999999</v>
      </c>
      <c r="E86">
        <v>121091248.73148</v>
      </c>
      <c r="F86">
        <v>-3060.5729999999999</v>
      </c>
      <c r="G86">
        <v>23042897.989999998</v>
      </c>
      <c r="H86">
        <v>94356811.435450003</v>
      </c>
      <c r="J86" s="5">
        <f>'sv20'!$AA$3+'sv20'!$Z$3*($B86)+'sv20'!$Y$3*($B86)^2+'sv20'!$X$3*($B86)^3+'sv20'!$W$3*($B86)^4+'sv20'!$V$3*($B86)^5+'sv20'!$U$3*($B86)^6+'sv20'!$T$3*($B86)^7+'sv20'!$S$3*($B86)^8</f>
        <v>14182.39874892865</v>
      </c>
      <c r="K86" s="5">
        <f>'sv20'!$AA$4+'sv20'!$Z$4*($B86)+'sv20'!$Y$4*($B86)^2+'sv20'!$X$4*($B86)^3+'sv20'!$W$4*($B86)^4+'sv20'!$V$4*($B86)^5+'sv20'!$U$4*($B86)^6+'sv20'!$T$4*($B86)^7+'sv20'!$S$4*($B86)^8</f>
        <v>21779.981939628469</v>
      </c>
      <c r="L86" s="5">
        <f>'sv20'!$AA$5+'sv20'!$Z$5*($B86)+'sv20'!$Y$5*($B86)^2+'sv20'!$X$5*($B86)^3+'sv20'!$W$5*($B86)^4+'sv20'!$V$5*($B86)^5+'sv20'!$U$5*($B86)^6+'sv20'!$T$5*($B86)^7+'sv20'!$S$5*($B86)^8</f>
        <v>5461.9973609586759</v>
      </c>
      <c r="M86" s="5">
        <f>'sv20'!$AA$6+'sv20'!$Z$6*$B86+'sv20'!$Y$6*$B86^2+'sv20'!$X$6*$B86^3+'sv20'!$W$6*$B86^4+'sv20'!$V$6*$B86^5+'sv20'!$U$6*$B86^6+'sv20'!$T$6*$B86^7+'sv20'!$S$6*$B86^8</f>
        <v>55.817792163551189</v>
      </c>
      <c r="O86">
        <f>SQRT(($J86*1000-coord!$B$2)^2+($K86*1000-coord!$C$2)^2+($L86*1000-coord!$D$2)^2)/coord!$B$6</f>
        <v>7.6918851770675228E-2</v>
      </c>
      <c r="Q86" s="5">
        <f>'sv20'!$AA$3+'sv20'!$Z$3*($B86-$O86/3600)+'sv20'!$Y$3*($B86-$O86/3600)^2+'sv20'!$X$3*($B86-$O86/3600)^3+'sv20'!$W$3*($B86-$O86/3600)^4+'sv20'!$V$3*($B86-$O86/3600)^5+'sv20'!$U$3*($B86-$O86/3600)^6+'sv20'!$T$3*($B86-$O86/3600)^7+'sv20'!$S$3*($B86-$O86/3600)^8+K86*coord!$B$7*O86</f>
        <v>14182.522426246005</v>
      </c>
      <c r="R86" s="5">
        <f>'sv20'!$AA$4+'sv20'!$Z$4*($B86-$O86/3600)+'sv20'!$Y$4*($B86-$O86/3600)^2+'sv20'!$X$4*($B86-$O86/3600)^3+'sv20'!$W$4*($B86-$O86/3600)^4+'sv20'!$V$4*($B86-$O86/3600)^5+'sv20'!$U$4*($B86-$O86/3600)^6+'sv20'!$T$4*($B86-$O86/3600)^7+'sv20'!$S$4*($B86-$O86/3600)^8-J86*coord!$B$7*O86</f>
        <v>21779.84166606962</v>
      </c>
      <c r="S86" s="5">
        <f>'sv20'!$AA$5+'sv20'!$Z$5*($B86-$O86/3600)+'sv20'!$Y$5*($B86-$O86/3600)^2+'sv20'!$X$5*($B86-$O86/3600)^3+'sv20'!$W$5*($B86-$O86/3600)^4+'sv20'!$V$5*($B86-$O86/3600)^5+'sv20'!$U$5*($B86-$O86/3600)^6+'sv20'!$T$5*($B86-$O86/3600)^7+'sv20'!$S$5*($B86-$O86/3600)^8</f>
        <v>5462.2293847232777</v>
      </c>
      <c r="T86">
        <f>coord!$B$6*M86/10^6</f>
        <v>16733.753112844148</v>
      </c>
      <c r="U86">
        <f>SQRT(($Q86*1000+coord!$B$7*$O86*$R86*1000-coord!$B$2)^2+($R86*1000-coord!$B$7*$O86*$Q86*1000-coord!$C$2)^2+($S86*1000-coord!$D$2)^2)</f>
        <v>23059606.723403886</v>
      </c>
      <c r="V86" s="3">
        <f>$D86-(U86-$T86)-coord!$E$2</f>
        <v>26.68370895832777</v>
      </c>
      <c r="W86" s="3"/>
      <c r="Y86">
        <f>-(Q86*1000-coord!$B$2)/$U86</f>
        <v>-0.42470994292830427</v>
      </c>
      <c r="Z86">
        <f>-(R86*1000-coord!$C$2)/$U86</f>
        <v>-0.90440707437143675</v>
      </c>
      <c r="AA86">
        <f>-(S86*1000-coord!$D$2)/$U86</f>
        <v>-4.0878455635870121E-2</v>
      </c>
      <c r="AB86">
        <v>1</v>
      </c>
      <c r="BA86">
        <f>SQRT(($Q86*1000+coord!$B$7*$O86*$R86*1000-coord!$B$2-AX$82)^2+($R86*1000-coord!$B$7*$O86*$Q86*1000-coord!$C$2-AX$83)^2+($S86*1000-coord!$D$2-AX$84)^2)</f>
        <v>23059620.459632095</v>
      </c>
      <c r="BB86" s="3">
        <f t="shared" si="20"/>
        <v>4.0414042889325543</v>
      </c>
      <c r="BD86" s="1"/>
      <c r="BE86" s="1"/>
      <c r="BF86" s="1"/>
      <c r="CD86" s="1"/>
      <c r="CE86" s="1"/>
      <c r="CF86" s="1"/>
    </row>
    <row r="87" spans="1:108">
      <c r="A87">
        <v>24</v>
      </c>
      <c r="B87">
        <f t="shared" si="19"/>
        <v>0.45</v>
      </c>
      <c r="C87">
        <v>13</v>
      </c>
      <c r="D87">
        <v>20135792.82</v>
      </c>
      <c r="E87">
        <v>105814303.77049001</v>
      </c>
      <c r="F87">
        <v>-684.18</v>
      </c>
      <c r="G87">
        <v>20135790.91</v>
      </c>
      <c r="H87">
        <v>82452696.260480002</v>
      </c>
      <c r="J87" s="5">
        <f>'sv13'!$AA$3+'sv13'!$Z$3*($B87)+'sv13'!$Y$3*($B87)^2+'sv13'!$X$3*($B87)^3+'sv13'!$W$3*($B87)^4+'sv13'!$V$3*($B87)^5+'sv13'!$U$3*($B87)^6+'sv13'!$T$3*($B87)^7+'sv13'!$S$3*($B87)^8</f>
        <v>14386.988219761588</v>
      </c>
      <c r="K87" s="5">
        <f>'sv13'!$AA$4+'sv13'!$Z$4*($B87)+'sv13'!$Y$4*($B87)^2+'sv13'!$X$4*($B87)^3+'sv13'!$W$4*($B87)^4+'sv13'!$V$4*($B87)^5+'sv13'!$U$4*($B87)^6+'sv13'!$T$4*($B87)^7+'sv13'!$S$4*($B87)^8</f>
        <v>5031.5703109943242</v>
      </c>
      <c r="L87" s="5">
        <f>'sv13'!$AA$5+'sv13'!$Z$5*($B87)+'sv13'!$Y$5*($B87)^2+'sv13'!$X$5*($B87)^3+'sv13'!$W$5*($B87)^4+'sv13'!$V$5*($B87)^5+'sv13'!$U$5*($B87)^6+'sv13'!$T$5*($B87)^7+'sv13'!$S$5*($B87)^8</f>
        <v>21616.44138823789</v>
      </c>
      <c r="M87" s="5">
        <f>'sv13'!$AA$6+'sv13'!$Z$6*$B87+'sv13'!$Y$6*$B87^2+'sv13'!$X$6*$B87^3+'sv13'!$W$6*$B87^4+'sv13'!$V$6*$B87^5+'sv13'!$U$6*$B87^6+'sv13'!$T$6*$B87^7+'sv13'!$S$6*$B87^8</f>
        <v>304.21947998863862</v>
      </c>
      <c r="O87">
        <f>SQRT(($J87*1000-coord!$B$2)^2+($K87*1000-coord!$C$2)^2+($L87*1000-coord!$D$2)^2)/coord!$B$6</f>
        <v>6.7470051732473585E-2</v>
      </c>
      <c r="Q87" s="5">
        <f>'sv13'!$AA$3+'sv13'!$Z$3*($B87-$O87/3600)+'sv13'!$Y$3*($B87-$O87/3600)^2+'sv13'!$X$3*($B87-$O87/3600)^3+'sv13'!$W$3*($B87-$O87/3600)^4+'sv13'!$V$3*($B87-$O87/3600)^5+'sv13'!$U$3*($B87-$O87/3600)^6+'sv13'!$T$3*($B87-$O87/3600)^7+'sv13'!$S$3*($B87-$O87/3600)^8+K87*coord!$B$7*O87</f>
        <v>14387.134909255734</v>
      </c>
      <c r="R87" s="5">
        <f>'sv13'!$AA$4+'sv13'!$Z$4*($B87-$O87/3600)+'sv13'!$Y$4*($B87-$O87/3600)^2+'sv13'!$X$4*($B87-$O87/3600)^3+'sv13'!$W$4*($B87-$O87/3600)^4+'sv13'!$V$4*($B87-$O87/3600)^5+'sv13'!$U$4*($B87-$O87/3600)^6+'sv13'!$T$4*($B87-$O87/3600)^7+'sv13'!$S$4*($B87-$O87/3600)^8-J87*coord!$B$7*O87</f>
        <v>5031.3579555791084</v>
      </c>
      <c r="S87" s="5">
        <f>'sv13'!$AA$5+'sv13'!$Z$5*($B87-$O87/3600)+'sv13'!$Y$5*($B87-$O87/3600)^2+'sv13'!$X$5*($B87-$O87/3600)^3+'sv13'!$W$5*($B87-$O87/3600)^4+'sv13'!$V$5*($B87-$O87/3600)^5+'sv13'!$U$5*($B87-$O87/3600)^6+'sv13'!$T$5*($B87-$O87/3600)^7+'sv13'!$S$5*($B87-$O87/3600)^8</f>
        <v>21616.393699306242</v>
      </c>
      <c r="T87">
        <f>coord!$B$6*M87/10^6</f>
        <v>91202.705677275793</v>
      </c>
      <c r="U87">
        <f>SQRT(($Q87*1000+coord!$B$7*$O87*$R87*1000-coord!$B$2)^2+($R87*1000-coord!$B$7*$O87*$Q87*1000-coord!$C$2)^2+($S87*1000-coord!$D$2)^2)</f>
        <v>20226999.597545199</v>
      </c>
      <c r="V87" s="3">
        <f>$D87-(U87-$T87)-coord!$E$2</f>
        <v>-4.0718679241836071</v>
      </c>
      <c r="W87" s="3"/>
      <c r="Y87">
        <f>-(Q87*1000-coord!$B$2)/$U87</f>
        <v>-0.49430251334306385</v>
      </c>
      <c r="Z87">
        <f>-(R87*1000-coord!$C$2)/$U87</f>
        <v>-0.20303494458355154</v>
      </c>
      <c r="AA87">
        <f>-(S87*1000-coord!$D$2)/$U87</f>
        <v>-0.84524673778513115</v>
      </c>
      <c r="AB87">
        <v>1</v>
      </c>
      <c r="BA87">
        <f>SQRT(($Q87*1000+coord!$B$7*$O87*$R87*1000-coord!$B$2-AX$82)^2+($R87*1000-coord!$B$7*$O87*$Q87*1000-coord!$C$2-AX$83)^2+($S87*1000-coord!$D$2-AX$84)^2)</f>
        <v>20226984.149866525</v>
      </c>
      <c r="BB87" s="3">
        <f t="shared" si="20"/>
        <v>2.4697342894225045</v>
      </c>
      <c r="BD87" s="1"/>
      <c r="BE87" s="1"/>
      <c r="BF87" s="1"/>
      <c r="CD87" s="1"/>
      <c r="CE87" s="1"/>
      <c r="CF87" s="1"/>
    </row>
    <row r="88" spans="1:108">
      <c r="A88">
        <v>24</v>
      </c>
      <c r="B88">
        <f t="shared" si="19"/>
        <v>0.45</v>
      </c>
      <c r="C88">
        <v>7</v>
      </c>
      <c r="D88">
        <v>21828968.625</v>
      </c>
      <c r="E88">
        <v>114712008.89849</v>
      </c>
      <c r="F88">
        <v>2866.8829999999998</v>
      </c>
      <c r="G88">
        <v>21828967.421</v>
      </c>
      <c r="H88">
        <v>89385981.563470006</v>
      </c>
      <c r="J88" s="5">
        <f>'sv07'!$AA$3+'sv07'!$Z$3*($B88)+'sv07'!$Y$3*($B88)^2+'sv07'!$X$3*($B88)^3+'sv07'!$W$3*($B88)^4+'sv07'!$V$3*($B88)^5+'sv07'!$U$3*($B88)^6+'sv07'!$T$3*($B88)^7+'sv07'!$S$3*($B88)^8</f>
        <v>25510.73242797656</v>
      </c>
      <c r="K88" s="5">
        <f>'sv07'!$AA$4+'sv07'!$Z$4*($B88)+'sv07'!$Y$4*($B88)^2+'sv07'!$X$4*($B88)^3+'sv07'!$W$4*($B88)^4+'sv07'!$V$4*($B88)^5+'sv07'!$U$4*($B88)^6+'sv07'!$T$4*($B88)^7+'sv07'!$S$4*($B88)^8</f>
        <v>6428.2094316545736</v>
      </c>
      <c r="L88" s="5">
        <f>'sv07'!$AA$5+'sv07'!$Z$5*($B88)+'sv07'!$Y$5*($B88)^2+'sv07'!$X$5*($B88)^3+'sv07'!$W$5*($B88)^4+'sv07'!$V$5*($B88)^5+'sv07'!$U$5*($B88)^6+'sv07'!$T$5*($B88)^7+'sv07'!$S$5*($B88)^8</f>
        <v>4252.8018056477995</v>
      </c>
      <c r="M88" s="5">
        <f>'sv07'!$AA$6+'sv07'!$Z$6*$B88+'sv07'!$Y$6*$B88^2+'sv07'!$X$6*$B88^3+'sv07'!$W$6*$B88^4+'sv07'!$V$6*$B88^5+'sv07'!$U$6*$B88^6+'sv07'!$T$6*$B88^7+'sv07'!$S$6*$B88^8</f>
        <v>-0.63780361937466734</v>
      </c>
      <c r="O88">
        <f>SQRT(($J88*1000-coord!$B$2)^2+($K88*1000-coord!$C$2)^2+($L88*1000-coord!$D$2)^2)/coord!$B$6</f>
        <v>7.2812843424690091E-2</v>
      </c>
      <c r="Q88" s="5">
        <f>'sv07'!$AA$3+'sv07'!$Z$3*($B88-$O88/3600)+'sv07'!$Y$3*($B88-$O88/3600)^2+'sv07'!$X$3*($B88-$O88/3600)^3+'sv07'!$W$3*($B88-$O88/3600)^4+'sv07'!$V$3*($B88-$O88/3600)^5+'sv07'!$U$3*($B88-$O88/3600)^6+'sv07'!$T$3*($B88-$O88/3600)^7+'sv07'!$S$3*($B88-$O88/3600)^8+K88*coord!$B$7*O88</f>
        <v>25510.80765272172</v>
      </c>
      <c r="R88" s="5">
        <f>'sv07'!$AA$4+'sv07'!$Z$4*($B88-$O88/3600)+'sv07'!$Y$4*($B88-$O88/3600)^2+'sv07'!$X$4*($B88-$O88/3600)^3+'sv07'!$W$4*($B88-$O88/3600)^4+'sv07'!$V$4*($B88-$O88/3600)^5+'sv07'!$U$4*($B88-$O88/3600)^6+'sv07'!$T$4*($B88-$O88/3600)^7+'sv07'!$S$4*($B88-$O88/3600)^8-J88*coord!$B$7*O88</f>
        <v>6428.0627880678185</v>
      </c>
      <c r="S88" s="5">
        <f>'sv07'!$AA$5+'sv07'!$Z$5*($B88-$O88/3600)+'sv07'!$Y$5*($B88-$O88/3600)^2+'sv07'!$X$5*($B88-$O88/3600)^3+'sv07'!$W$5*($B88-$O88/3600)^4+'sv07'!$V$5*($B88-$O88/3600)^5+'sv07'!$U$5*($B88-$O88/3600)^6+'sv07'!$T$5*($B88-$O88/3600)^7+'sv07'!$S$5*($B88-$O88/3600)^8</f>
        <v>4252.5740476073388</v>
      </c>
      <c r="T88">
        <f>coord!$B$6*M88/10^6</f>
        <v>-191.20871477362795</v>
      </c>
      <c r="U88">
        <f>SQRT(($Q88*1000+coord!$B$7*$O88*$R88*1000-coord!$B$2)^2+($R88*1000-coord!$B$7*$O88*$Q88*1000-coord!$C$2)^2+($S88*1000-coord!$D$2)^2)</f>
        <v>21828778.78075422</v>
      </c>
      <c r="V88" s="3">
        <f>$D88-(U88-$T88)-coord!$E$2</f>
        <v>-1.3644689917564392</v>
      </c>
      <c r="W88" s="3" t="s">
        <v>127</v>
      </c>
      <c r="X88" s="1" t="s">
        <v>128</v>
      </c>
      <c r="Y88">
        <f>-(Q88*1000-coord!$B$2)/$U88</f>
        <v>-0.96761846798980311</v>
      </c>
      <c r="Z88">
        <f>-(R88*1000-coord!$C$2)/$U88</f>
        <v>-0.2521209560161049</v>
      </c>
      <c r="AA88">
        <f>-(S88*1000-coord!$D$2)/$U88</f>
        <v>1.2232210943842591E-2</v>
      </c>
      <c r="AB88">
        <v>1</v>
      </c>
      <c r="BA88">
        <f>SQRT(($Q88*1000+coord!$B$7*$O88*$R88*1000-coord!$B$2-AX$82)^2+($R88*1000-coord!$B$7*$O88*$Q88*1000-coord!$C$2-AX$83)^2+($S88*1000-coord!$D$2-AX$84)^2)</f>
        <v>21828774.532452688</v>
      </c>
      <c r="BB88" s="3">
        <f t="shared" si="20"/>
        <v>-6.0222439200432376</v>
      </c>
      <c r="BC88" s="3" t="s">
        <v>127</v>
      </c>
      <c r="BD88" s="1" t="s">
        <v>128</v>
      </c>
      <c r="BE88" s="1"/>
      <c r="BF88" s="1"/>
      <c r="CD88" s="1"/>
      <c r="CE88" s="1"/>
      <c r="CF88" s="1"/>
    </row>
    <row r="89" spans="1:108">
      <c r="V89" s="3"/>
      <c r="W89" s="3">
        <f>AVERAGE($V82:$V88)</f>
        <v>-3.8946344038205489</v>
      </c>
      <c r="X89" s="1">
        <f>SQRT(DEVSQ($V82:$V88)/6)</f>
        <v>16.255515511562798</v>
      </c>
      <c r="BB89" s="3"/>
      <c r="BC89" s="3">
        <f>AVERAGE($BB82:$BB88)</f>
        <v>6.3856403615756926E-5</v>
      </c>
      <c r="BD89" s="1">
        <f>SQRT(DEVSQ($BB82:$BB88)/6)</f>
        <v>4.9015172149172939</v>
      </c>
      <c r="BE89" s="1"/>
      <c r="BF89" s="1"/>
      <c r="CD89" s="1"/>
      <c r="CE89" s="1"/>
      <c r="CF89" s="1"/>
    </row>
    <row r="90" spans="1:108">
      <c r="A90">
        <v>26</v>
      </c>
      <c r="B90">
        <f t="shared" si="19"/>
        <v>0.46666666666666667</v>
      </c>
      <c r="C90">
        <v>2</v>
      </c>
      <c r="D90">
        <v>22573595.329999998</v>
      </c>
      <c r="E90">
        <v>118625047.64148</v>
      </c>
      <c r="F90">
        <v>2219.3939999999998</v>
      </c>
      <c r="G90">
        <v>22573592.394000001</v>
      </c>
      <c r="H90">
        <v>92435091.440469995</v>
      </c>
      <c r="J90" s="5">
        <f>'sv02'!$AA$3+'sv02'!$Z$3*($B90)+'sv02'!$Y$3*($B90)^2+'sv02'!$X$3*($B90)^3+'sv02'!$W$3*($B90)^4+'sv02'!$V$3*($B90)^5+'sv02'!$U$3*($B90)^6+'sv02'!$T$3*($B90)^7+'sv02'!$S$3*($B90)^8</f>
        <v>7648.8238800654408</v>
      </c>
      <c r="K90" s="5">
        <f>'sv02'!$AA$4+'sv02'!$Z$4*($B90)+'sv02'!$Y$4*($B90)^2+'sv02'!$X$4*($B90)^3+'sv02'!$W$4*($B90)^4+'sv02'!$V$4*($B90)^5+'sv02'!$U$4*($B90)^6+'sv02'!$T$4*($B90)^7+'sv02'!$S$4*($B90)^8</f>
        <v>-14446.231447284825</v>
      </c>
      <c r="L90" s="5">
        <f>'sv02'!$AA$5+'sv02'!$Z$5*($B90)+'sv02'!$Y$5*($B90)^2+'sv02'!$X$5*($B90)^3+'sv02'!$W$5*($B90)^4+'sv02'!$V$5*($B90)^5+'sv02'!$U$5*($B90)^6+'sv02'!$T$5*($B90)^7+'sv02'!$S$5*($B90)^8</f>
        <v>20834.27560723601</v>
      </c>
      <c r="M90" s="5">
        <f>'sv02'!$AA$6+'sv02'!$Z$6*$B90+'sv02'!$Y$6*$B90^2+'sv02'!$X$6*$B90^3+'sv02'!$W$6*$B90^4+'sv02'!$V$6*$B90^5+'sv02'!$U$6*$B90^6+'sv02'!$T$6*$B90^7+'sv02'!$S$6*$B90^8</f>
        <v>257.59230922387411</v>
      </c>
      <c r="O90">
        <f>SQRT(($J90*1000-coord!$B$2)^2+($K90*1000-coord!$C$2)^2+($L90*1000-coord!$D$2)^2)/coord!$B$6</f>
        <v>7.555486773331957E-2</v>
      </c>
      <c r="Q90" s="5">
        <f>'sv02'!$AA$3+'sv02'!$Z$3*($B90-$O90/3600)+'sv02'!$Y$3*($B90-$O90/3600)^2+'sv02'!$X$3*($B90-$O90/3600)^3+'sv02'!$W$3*($B90-$O90/3600)^4+'sv02'!$V$3*($B90-$O90/3600)^5+'sv02'!$U$3*($B90-$O90/3600)^6+'sv02'!$T$3*($B90-$O90/3600)^7+'sv02'!$S$3*($B90-$O90/3600)^8+K90*coord!$B$7*O90</f>
        <v>7648.5448916160585</v>
      </c>
      <c r="R90" s="5">
        <f>'sv02'!$AA$4+'sv02'!$Z$4*($B90-$O90/3600)+'sv02'!$Y$4*($B90-$O90/3600)^2+'sv02'!$X$4*($B90-$O90/3600)^3+'sv02'!$W$4*($B90-$O90/3600)^4+'sv02'!$V$4*($B90-$O90/3600)^5+'sv02'!$U$4*($B90-$O90/3600)^6+'sv02'!$T$4*($B90-$O90/3600)^7+'sv02'!$S$4*($B90-$O90/3600)^8-J90*coord!$B$7*O90</f>
        <v>-14446.303912015239</v>
      </c>
      <c r="S90" s="5">
        <f>'sv02'!$AA$5+'sv02'!$Z$5*($B90-$O90/3600)+'sv02'!$Y$5*($B90-$O90/3600)^2+'sv02'!$X$5*($B90-$O90/3600)^3+'sv02'!$W$5*($B90-$O90/3600)^4+'sv02'!$V$5*($B90-$O90/3600)^5+'sv02'!$U$5*($B90-$O90/3600)^6+'sv02'!$T$5*($B90-$O90/3600)^7+'sv02'!$S$5*($B90-$O90/3600)^8</f>
        <v>20834.331173161416</v>
      </c>
      <c r="T90">
        <f>coord!$B$6*M90/10^6</f>
        <v>77224.231544121285</v>
      </c>
      <c r="U90">
        <f>SQRT(($Q90*1000+coord!$B$7*$O90*$R90*1000-coord!$B$2)^2+($R90*1000-coord!$B$7*$O90*$Q90*1000-coord!$C$2)^2+($S90*1000-coord!$D$2)^2)</f>
        <v>22650845.700224448</v>
      </c>
      <c r="V90" s="3">
        <f>$D90-(U90-$T90)-coord!$E$2</f>
        <v>-26.138680327683687</v>
      </c>
      <c r="W90" s="3"/>
      <c r="Y90">
        <f>-(Q90*1000-coord!$B$2)/$U90</f>
        <v>-0.1439092722610246</v>
      </c>
      <c r="Z90">
        <f>-(R90*1000-coord!$C$2)/$U90</f>
        <v>0.67860045177310657</v>
      </c>
      <c r="AA90">
        <f>-(S90*1000-coord!$D$2)/$U90</f>
        <v>-0.72027080643173313</v>
      </c>
      <c r="AB90">
        <v>1</v>
      </c>
      <c r="AD90">
        <f t="array" ref="AD90:AJ93">TRANSPOSE(Y90:AB96)</f>
        <v>-0.1439092722610246</v>
      </c>
      <c r="AE90">
        <v>-0.19097220578689661</v>
      </c>
      <c r="AF90">
        <v>-0.15687420801836285</v>
      </c>
      <c r="AG90">
        <v>-0.82656613062618489</v>
      </c>
      <c r="AH90">
        <v>-0.4240061399055885</v>
      </c>
      <c r="AI90">
        <v>-0.48875597624711203</v>
      </c>
      <c r="AJ90">
        <v>-0.96748047432202999</v>
      </c>
      <c r="AL90">
        <f t="array" ref="AL90:AO93">MMULT(AD90:AJ93,Y90:AB96)</f>
        <v>2.1196834266548277</v>
      </c>
      <c r="AM90">
        <v>0.31378000926529337</v>
      </c>
      <c r="AN90">
        <v>1.1257030265723007</v>
      </c>
      <c r="AO90">
        <v>-3.1985644071671997</v>
      </c>
      <c r="AQ90">
        <f t="array" ref="AQ90:AT93">MINVERSE(AL90:AO93)</f>
        <v>2.5599706890027027</v>
      </c>
      <c r="AR90">
        <v>7.1044228563898831E-2</v>
      </c>
      <c r="AS90">
        <v>1.5734700787130109</v>
      </c>
      <c r="AT90">
        <v>1.9445848008528954</v>
      </c>
      <c r="AV90">
        <f t="array" ref="AV90:AV93">MMULT(AD90:AJ93,V90:V96)</f>
        <v>8.7279793910097627</v>
      </c>
      <c r="AX90">
        <f t="array" ref="AX90:AX93">MMULT(AQ90:AT93,AV90:AV93)</f>
        <v>10.969089465572011</v>
      </c>
      <c r="BA90">
        <f>SQRT(($Q90*1000+coord!$B$7*$O90*$R90*1000-coord!$B$2-AX$90)^2+($R90*1000-coord!$B$7*$O90*$Q90*1000-coord!$C$2-AX$91)^2+($S90*1000-coord!$D$2-AX$92)^2)</f>
        <v>22650816.656991262</v>
      </c>
      <c r="BB90" s="3">
        <f>$D90-(BA90-$T90)-AX$93</f>
        <v>-6.173568127248771</v>
      </c>
      <c r="BD90" s="1">
        <f>coord!$B$2+$AX90</f>
        <v>4388889.1398894656</v>
      </c>
      <c r="BE90" s="1">
        <f>coord!$C$2+$AX91</f>
        <v>924549.54149601236</v>
      </c>
      <c r="BF90" s="1">
        <f>coord!$D$2+$AX92</f>
        <v>4519606.9295793111</v>
      </c>
      <c r="BG90" s="1">
        <f>coord!$E$2+$AX93</f>
        <v>9.0781209855716298</v>
      </c>
      <c r="BH90" s="8">
        <f>lat($BD90,$BE90,$BF90)</f>
        <v>45.411247636847918</v>
      </c>
      <c r="BI90" s="8">
        <f>lon($BD90,$BE90,$BF90)</f>
        <v>11.895819250420647</v>
      </c>
      <c r="BJ90" s="6">
        <f>h($BD90,$BE90,$BF90)</f>
        <v>79.950464912690222</v>
      </c>
      <c r="BL90">
        <f>grado($BH90)</f>
        <v>45</v>
      </c>
      <c r="BM90">
        <f>MINUTOprimo($BH90)</f>
        <v>24</v>
      </c>
      <c r="BN90">
        <f>MINUTOsecondo($BH90)</f>
        <v>40.491492652504348</v>
      </c>
      <c r="BO90">
        <f>grado($BI90)</f>
        <v>11</v>
      </c>
      <c r="BP90">
        <f>MINUTOprimo($BI90)</f>
        <v>53</v>
      </c>
      <c r="BQ90">
        <f>MINUTOsecondo($BI90)</f>
        <v>44.949301514330102</v>
      </c>
      <c r="BS90">
        <f>-SIN(RADIANS(BH90))*COS(RADIANS(BI90))</f>
        <v>-0.69686945994219096</v>
      </c>
      <c r="BT90">
        <f>-SIN(RADIANS(BI90))</f>
        <v>-0.20613278515543651</v>
      </c>
      <c r="BU90">
        <f>COS(RADIANS(BH90))*COS(RADIANS(BI90))</f>
        <v>0.68693684621218387</v>
      </c>
      <c r="BW90" t="s">
        <v>93</v>
      </c>
      <c r="BX90">
        <f t="array" ref="BX90:BZ92">MINVERSE(BS90:BU92)</f>
        <v>-0.69686945994219107</v>
      </c>
      <c r="BY90">
        <v>-0.14680032216268496</v>
      </c>
      <c r="BZ90">
        <v>0.70201326284680043</v>
      </c>
      <c r="CA90">
        <v>0</v>
      </c>
      <c r="CB90" s="1">
        <f t="array" ref="CB90:CB92">MMULT(BX90:BZ92,AX90:AX92)</f>
        <v>8.4868428519182331</v>
      </c>
      <c r="CD90" s="1">
        <f t="array" ref="CD90:CF90">TRANSPOSE(CB90:CB92)</f>
        <v>8.4868428519182331</v>
      </c>
      <c r="CE90" s="1">
        <v>-22.488848029777493</v>
      </c>
      <c r="CF90" s="1">
        <v>17.829327759344025</v>
      </c>
      <c r="CH90">
        <f t="array" ref="CH90:CK93">MMULT(BX90:CA93,AQ90:AT93)</f>
        <v>-0.68979784320499893</v>
      </c>
      <c r="CI90">
        <v>0.14716476183196706</v>
      </c>
      <c r="CJ90">
        <v>0.62767619017343423</v>
      </c>
      <c r="CK90">
        <v>-3.9171475480843654E-3</v>
      </c>
      <c r="CM90">
        <f t="array" ref="CM90:CP93">TRANSPOSE(BX90:CA93)</f>
        <v>-0.69686945994219107</v>
      </c>
      <c r="CN90">
        <v>-0.20613278515543651</v>
      </c>
      <c r="CO90">
        <v>0.68693684621218398</v>
      </c>
      <c r="CP90">
        <v>0</v>
      </c>
      <c r="CR90" s="5">
        <f t="array" ref="CR90:CU93">MMULT(CH90:CK93,CM90:CP93)</f>
        <v>0.89973222629052962</v>
      </c>
      <c r="CS90" s="5">
        <v>0.28619420625513853</v>
      </c>
      <c r="CT90" s="5">
        <v>-5.5433389075114081E-3</v>
      </c>
      <c r="CU90" s="5">
        <v>-3.9171475480843654E-3</v>
      </c>
      <c r="CW90" s="3">
        <f>SQRT(CR90+CS91)</f>
        <v>1.2019055907033414</v>
      </c>
      <c r="CX90" s="3">
        <f>CT92</f>
        <v>4.1366042554138218</v>
      </c>
      <c r="CY90" s="3">
        <f>CU93</f>
        <v>2.005392520728539</v>
      </c>
      <c r="CZ90" s="3">
        <f>BD97</f>
        <v>4.8459159730794736</v>
      </c>
      <c r="DA90">
        <v>6</v>
      </c>
      <c r="DB90" s="6">
        <f>CY90*DA90*CZ90</f>
        <v>58.307781890955219</v>
      </c>
      <c r="DC90">
        <v>5.33</v>
      </c>
      <c r="DD90" s="6">
        <f>CZ90*DC90*SQRT(0.5*(CR90+CS91)+SQRT((0.5*(CR90-CS91))^2+CS90^2))</f>
        <v>26.580110637056531</v>
      </c>
    </row>
    <row r="91" spans="1:108">
      <c r="A91">
        <v>26</v>
      </c>
      <c r="B91">
        <f t="shared" si="19"/>
        <v>0.46666666666666667</v>
      </c>
      <c r="C91">
        <v>23</v>
      </c>
      <c r="D91">
        <v>21126051.554000001</v>
      </c>
      <c r="E91">
        <v>111018148.16249</v>
      </c>
      <c r="F91">
        <v>-1954.277</v>
      </c>
      <c r="G91">
        <v>21126048.105999999</v>
      </c>
      <c r="H91">
        <v>86507634.25147</v>
      </c>
      <c r="J91" s="5">
        <f>'sv23'!$AA$3+'sv23'!$Z$3*($B91)+'sv23'!$Y$3*($B91)^2+'sv23'!$X$3*($B91)^3+'sv23'!$W$3*($B91)^4+'sv23'!$V$3*($B91)^5+'sv23'!$U$3*($B91)^6+'sv23'!$T$3*($B91)^7+'sv23'!$S$3*($B91)^8</f>
        <v>8444.3629903434485</v>
      </c>
      <c r="K91" s="5">
        <f>'sv23'!$AA$4+'sv23'!$Z$4*($B91)+'sv23'!$Y$4*($B91)^2+'sv23'!$X$4*($B91)^3+'sv23'!$W$4*($B91)^4+'sv23'!$V$4*($B91)^5+'sv23'!$U$4*($B91)^6+'sv23'!$T$4*($B91)^7+'sv23'!$S$4*($B91)^8</f>
        <v>13152.131312042951</v>
      </c>
      <c r="L91" s="5">
        <f>'sv23'!$AA$5+'sv23'!$Z$5*($B91)+'sv23'!$Y$5*($B91)^2+'sv23'!$X$5*($B91)^3+'sv23'!$W$5*($B91)^4+'sv23'!$V$5*($B91)^5+'sv23'!$U$5*($B91)^6+'sv23'!$T$5*($B91)^7+'sv23'!$S$5*($B91)^8</f>
        <v>21403.063040772231</v>
      </c>
      <c r="M91" s="5">
        <f>'sv23'!$AA$6+'sv23'!$Z$6*$B91+'sv23'!$Y$6*$B91^2+'sv23'!$X$6*$B91^3+'sv23'!$W$6*$B91^4+'sv23'!$V$6*$B91^5+'sv23'!$U$6*$B91^6+'sv23'!$T$6*$B91^7+'sv23'!$S$6*$B91^8</f>
        <v>370.05651157250094</v>
      </c>
      <c r="O91">
        <f>SQRT(($J91*1000-coord!$B$2)^2+($K91*1000-coord!$C$2)^2+($L91*1000-coord!$D$2)^2)/coord!$B$6</f>
        <v>7.083914501729105E-2</v>
      </c>
      <c r="Q91" s="5">
        <f>'sv23'!$AA$3+'sv23'!$Z$3*($B91-$O91/3600)+'sv23'!$Y$3*($B91-$O91/3600)^2+'sv23'!$X$3*($B91-$O91/3600)^3+'sv23'!$W$3*($B91-$O91/3600)^4+'sv23'!$V$3*($B91-$O91/3600)^5+'sv23'!$U$3*($B91-$O91/3600)^6+'sv23'!$T$3*($B91-$O91/3600)^7+'sv23'!$S$3*($B91-$O91/3600)^8+K91*coord!$B$7*O91</f>
        <v>8444.5531429354633</v>
      </c>
      <c r="R91" s="5">
        <f>'sv23'!$AA$4+'sv23'!$Z$4*($B91-$O91/3600)+'sv23'!$Y$4*($B91-$O91/3600)^2+'sv23'!$X$4*($B91-$O91/3600)^3+'sv23'!$W$4*($B91-$O91/3600)^4+'sv23'!$V$4*($B91-$O91/3600)^5+'sv23'!$U$4*($B91-$O91/3600)^6+'sv23'!$T$4*($B91-$O91/3600)^7+'sv23'!$S$4*($B91-$O91/3600)^8-J91*coord!$B$7*O91</f>
        <v>13151.938001112903</v>
      </c>
      <c r="S91" s="5">
        <f>'sv23'!$AA$5+'sv23'!$Z$5*($B91-$O91/3600)+'sv23'!$Y$5*($B91-$O91/3600)^2+'sv23'!$X$5*($B91-$O91/3600)^3+'sv23'!$W$5*($B91-$O91/3600)^4+'sv23'!$V$5*($B91-$O91/3600)^5+'sv23'!$U$5*($B91-$O91/3600)^6+'sv23'!$T$5*($B91-$O91/3600)^7+'sv23'!$S$5*($B91-$O91/3600)^8</f>
        <v>21403.108945584758</v>
      </c>
      <c r="T91">
        <f>coord!$B$6*M91/10^6</f>
        <v>110940.1512032255</v>
      </c>
      <c r="U91">
        <f>SQRT(($Q91*1000+coord!$B$7*$O91*$R91*1000-coord!$B$2)^2+($R91*1000-coord!$B$7*$O91*$Q91*1000-coord!$C$2)^2+($S91*1000-coord!$D$2)^2)</f>
        <v>21236990.772684161</v>
      </c>
      <c r="V91" s="3">
        <f>$D91-(U91-$T91)-coord!$E$2</f>
        <v>0.93251906707882881</v>
      </c>
      <c r="W91" s="3"/>
      <c r="Y91">
        <f>-(Q91*1000-coord!$B$2)/$U91</f>
        <v>-0.19097220578689661</v>
      </c>
      <c r="Z91">
        <f>-(R91*1000-coord!$C$2)/$U91</f>
        <v>-0.57575802140669652</v>
      </c>
      <c r="AA91">
        <f>-(S91*1000-coord!$D$2)/$U91</f>
        <v>-0.79500532123416445</v>
      </c>
      <c r="AB91">
        <v>1</v>
      </c>
      <c r="AD91">
        <v>0.67860045177310657</v>
      </c>
      <c r="AE91">
        <v>-0.57575802140669652</v>
      </c>
      <c r="AF91">
        <v>0.76068566437061769</v>
      </c>
      <c r="AG91">
        <v>0.37489437187313845</v>
      </c>
      <c r="AH91">
        <v>-0.90505992444554773</v>
      </c>
      <c r="AI91">
        <v>-0.20919298324120147</v>
      </c>
      <c r="AJ91">
        <v>-0.25291961893719561</v>
      </c>
      <c r="AL91">
        <v>0.31378000926529337</v>
      </c>
      <c r="AM91">
        <v>2.4380478471200115</v>
      </c>
      <c r="AN91">
        <v>-0.46147140325469649</v>
      </c>
      <c r="AO91">
        <v>-0.12875006001377862</v>
      </c>
      <c r="AQ91">
        <v>7.1044228563898776E-2</v>
      </c>
      <c r="AR91">
        <v>0.48535288563468615</v>
      </c>
      <c r="AS91">
        <v>0.38164987640059755</v>
      </c>
      <c r="AT91">
        <v>0.22901202993176717</v>
      </c>
      <c r="AV91">
        <v>-56.734408953065838</v>
      </c>
      <c r="AX91">
        <v>-20.671703987694741</v>
      </c>
      <c r="BA91">
        <f>SQRT(($Q91*1000+coord!$B$7*$O91*$R91*1000-coord!$B$2-AX$90)^2+($R91*1000-coord!$B$7*$O91*$Q91*1000-coord!$C$2-AX$91)^2+($S91*1000-coord!$D$2-AX$92)^2)</f>
        <v>21236985.748688955</v>
      </c>
      <c r="BB91" s="3">
        <f t="shared" ref="BB91:BB96" si="21">$D91-(BA91-$T91)-AX$93</f>
        <v>-3.1216067127327989</v>
      </c>
      <c r="BD91" s="1"/>
      <c r="BE91" s="1"/>
      <c r="BF91" s="1"/>
      <c r="BS91">
        <f>-SIN(RADIANS(BH90))*SIN(RADIANS(BI90))</f>
        <v>-0.14680032216268493</v>
      </c>
      <c r="BT91">
        <f>COS(RADIANS(BI90))</f>
        <v>0.978524028771937</v>
      </c>
      <c r="BU91">
        <f>COS(RADIANS(BH90))*SIN(RADIANS(BI90))</f>
        <v>0.14470794908666648</v>
      </c>
      <c r="BW91" t="s">
        <v>94</v>
      </c>
      <c r="BX91">
        <v>-0.20613278515543651</v>
      </c>
      <c r="BY91">
        <v>0.97852402877193712</v>
      </c>
      <c r="BZ91">
        <v>2.8364735867000214E-17</v>
      </c>
      <c r="CA91">
        <v>0</v>
      </c>
      <c r="CB91" s="1">
        <v>-22.488848029777493</v>
      </c>
      <c r="CD91" s="1"/>
      <c r="CE91" s="1"/>
      <c r="CF91" s="1"/>
      <c r="CH91">
        <v>-0.45817540328506834</v>
      </c>
      <c r="CI91">
        <v>0.46028491632424245</v>
      </c>
      <c r="CJ91">
        <v>4.9109804951967775E-2</v>
      </c>
      <c r="CK91">
        <v>-0.17674890680466485</v>
      </c>
      <c r="CM91">
        <v>-0.14680032216268496</v>
      </c>
      <c r="CN91">
        <v>0.97852402877193712</v>
      </c>
      <c r="CO91">
        <v>0.14470794908666651</v>
      </c>
      <c r="CP91">
        <v>0</v>
      </c>
      <c r="CR91" s="5">
        <v>0.28619420625513875</v>
      </c>
      <c r="CS91" s="5">
        <v>0.54484482267341816</v>
      </c>
      <c r="CT91" s="5">
        <v>-0.21315645152195808</v>
      </c>
      <c r="CU91" s="5">
        <v>-0.17674890680466485</v>
      </c>
    </row>
    <row r="92" spans="1:108">
      <c r="A92">
        <v>26</v>
      </c>
      <c r="B92">
        <f t="shared" si="19"/>
        <v>0.46666666666666667</v>
      </c>
      <c r="C92">
        <v>10</v>
      </c>
      <c r="D92">
        <v>22891104.395</v>
      </c>
      <c r="E92">
        <v>120293569.91748001</v>
      </c>
      <c r="F92">
        <v>3020.6759999999999</v>
      </c>
      <c r="G92">
        <v>22891104.991</v>
      </c>
      <c r="H92">
        <v>93735252.888459995</v>
      </c>
      <c r="J92" s="5">
        <f>'sv10'!$AA$3+'sv10'!$Z$3*($B92)+'sv10'!$Y$3*($B92)^2+'sv10'!$X$3*($B92)^3+'sv10'!$W$3*($B92)^4+'sv10'!$V$3*($B92)^5+'sv10'!$U$3*($B92)^6+'sv10'!$T$3*($B92)^7+'sv10'!$S$3*($B92)^8</f>
        <v>7978.0540910099335</v>
      </c>
      <c r="K92" s="5">
        <f>'sv10'!$AA$4+'sv10'!$Z$4*($B92)+'sv10'!$Y$4*($B92)^2+'sv10'!$X$4*($B92)^3+'sv10'!$W$4*($B92)^4+'sv10'!$V$4*($B92)^5+'sv10'!$U$4*($B92)^6+'sv10'!$T$4*($B92)^7+'sv10'!$S$4*($B92)^8</f>
        <v>-16478.355938927336</v>
      </c>
      <c r="L92" s="5">
        <f>'sv10'!$AA$5+'sv10'!$Z$5*($B92)+'sv10'!$Y$5*($B92)^2+'sv10'!$X$5*($B92)^3+'sv10'!$W$5*($B92)^4+'sv10'!$V$5*($B92)^5+'sv10'!$U$5*($B92)^6+'sv10'!$T$5*($B92)^7+'sv10'!$S$5*($B92)^8</f>
        <v>18930.193394982773</v>
      </c>
      <c r="M92" s="5">
        <f>'sv10'!$AA$6+'sv10'!$Z$6*$B92+'sv10'!$Y$6*$B92^2+'sv10'!$X$6*$B92^3+'sv10'!$W$6*$B92^4+'sv10'!$V$6*$B92^5+'sv10'!$U$6*$B92^6+'sv10'!$T$6*$B92^7+'sv10'!$S$6*$B92^8</f>
        <v>-43.001484392139943</v>
      </c>
      <c r="O92">
        <f>SQRT(($J92*1000-coord!$B$2)^2+($K92*1000-coord!$C$2)^2+($L92*1000-coord!$D$2)^2)/coord!$B$6</f>
        <v>7.6313280556449731E-2</v>
      </c>
      <c r="Q92" s="5">
        <f>'sv10'!$AA$3+'sv10'!$Z$3*($B92-$O92/3600)+'sv10'!$Y$3*($B92-$O92/3600)^2+'sv10'!$X$3*($B92-$O92/3600)^3+'sv10'!$W$3*($B92-$O92/3600)^4+'sv10'!$V$3*($B92-$O92/3600)^5+'sv10'!$U$3*($B92-$O92/3600)^6+'sv10'!$T$3*($B92-$O92/3600)^7+'sv10'!$S$3*($B92-$O92/3600)^8+K92*coord!$B$7*O92</f>
        <v>7977.8821622508449</v>
      </c>
      <c r="R92" s="5">
        <f>'sv10'!$AA$4+'sv10'!$Z$4*($B92-$O92/3600)+'sv10'!$Y$4*($B92-$O92/3600)^2+'sv10'!$X$4*($B92-$O92/3600)^3+'sv10'!$W$4*($B92-$O92/3600)^4+'sv10'!$V$4*($B92-$O92/3600)^5+'sv10'!$U$4*($B92-$O92/3600)^6+'sv10'!$T$4*($B92-$O92/3600)^7+'sv10'!$S$4*($B92-$O92/3600)^8-J92*coord!$B$7*O92</f>
        <v>-16478.570303984397</v>
      </c>
      <c r="S92" s="5">
        <f>'sv10'!$AA$5+'sv10'!$Z$5*($B92-$O92/3600)+'sv10'!$Y$5*($B92-$O92/3600)^2+'sv10'!$X$5*($B92-$O92/3600)^3+'sv10'!$W$5*($B92-$O92/3600)^4+'sv10'!$V$5*($B92-$O92/3600)^5+'sv10'!$U$5*($B92-$O92/3600)^6+'sv10'!$T$5*($B92-$O92/3600)^7+'sv10'!$S$5*($B92-$O92/3600)^8</f>
        <v>18930.077753430069</v>
      </c>
      <c r="T92">
        <f>coord!$B$6*M92/10^6</f>
        <v>-12891.520703568271</v>
      </c>
      <c r="U92">
        <f>SQRT(($Q92*1000+coord!$B$7*$O92*$R92*1000-coord!$B$2)^2+($R92*1000-coord!$B$7*$O92*$Q92*1000-coord!$C$2)^2+($S92*1000-coord!$D$2)^2)</f>
        <v>22878228.593388245</v>
      </c>
      <c r="V92" s="3">
        <f>$D92-(U92-$T92)-coord!$E$2</f>
        <v>-15.719091814011335</v>
      </c>
      <c r="W92" s="3"/>
      <c r="Y92">
        <f>-(Q92*1000-coord!$B$2)/$U92</f>
        <v>-0.15687420801836285</v>
      </c>
      <c r="Z92">
        <f>-(R92*1000-coord!$C$2)/$U92</f>
        <v>0.76068566437061769</v>
      </c>
      <c r="AA92">
        <f>-(S92*1000-coord!$D$2)/$U92</f>
        <v>-0.62987785178851952</v>
      </c>
      <c r="AB92">
        <v>1</v>
      </c>
      <c r="AD92">
        <v>-0.72027080643173313</v>
      </c>
      <c r="AE92">
        <v>-0.79500532123416445</v>
      </c>
      <c r="AF92">
        <v>-0.62987785178851952</v>
      </c>
      <c r="AG92">
        <v>-0.41981123067423454</v>
      </c>
      <c r="AH92">
        <v>-3.2970716185417338E-2</v>
      </c>
      <c r="AI92">
        <v>-0.84696878233139949</v>
      </c>
      <c r="AJ92">
        <v>3.6473239022168859E-3</v>
      </c>
      <c r="AL92">
        <v>1.1257030265723007</v>
      </c>
      <c r="AM92">
        <v>-0.46147140325469649</v>
      </c>
      <c r="AN92">
        <v>2.4422675623037526</v>
      </c>
      <c r="AO92">
        <v>-3.4412573847432513</v>
      </c>
      <c r="AQ92">
        <v>1.5734700787130114</v>
      </c>
      <c r="AR92">
        <v>0.3816498764005975</v>
      </c>
      <c r="AS92">
        <v>2.5358577297403793</v>
      </c>
      <c r="AT92">
        <v>1.9726459961617395</v>
      </c>
      <c r="AV92">
        <v>36.208370104072479</v>
      </c>
      <c r="AX92">
        <v>18.655279311527352</v>
      </c>
      <c r="BA92">
        <f>SQRT(($Q92*1000+coord!$B$7*$O92*$R92*1000-coord!$B$2-AX$90)^2+($R92*1000-coord!$B$7*$O92*$Q92*1000-coord!$C$2-AX$91)^2+($S92*1000-coord!$D$2-AX$92)^2)</f>
        <v>22878199.397409681</v>
      </c>
      <c r="BB92" s="3">
        <f t="shared" si="21"/>
        <v>4.3987657636959483</v>
      </c>
      <c r="BD92" s="1"/>
      <c r="BE92" s="1"/>
      <c r="BF92" s="1"/>
      <c r="BS92">
        <f>COS(RADIANS(BH90))</f>
        <v>0.70201326284680043</v>
      </c>
      <c r="BT92">
        <v>0</v>
      </c>
      <c r="BU92">
        <f>SIN(RADIANS(BH90))</f>
        <v>0.71216387073986631</v>
      </c>
      <c r="BW92" t="s">
        <v>95</v>
      </c>
      <c r="BX92">
        <v>0.68693684621218398</v>
      </c>
      <c r="BY92">
        <v>0.14470794908666651</v>
      </c>
      <c r="BZ92">
        <v>0.71216387073986642</v>
      </c>
      <c r="CA92">
        <v>0</v>
      </c>
      <c r="CB92" s="1">
        <v>17.829327759344025</v>
      </c>
      <c r="CD92" s="1"/>
      <c r="CE92" s="1"/>
      <c r="CF92" s="1"/>
      <c r="CH92">
        <v>2.889387397858695</v>
      </c>
      <c r="CI92">
        <v>0.39083457221959417</v>
      </c>
      <c r="CJ92">
        <v>2.9420486008209812</v>
      </c>
      <c r="CK92">
        <v>2.7737940196836801</v>
      </c>
      <c r="CM92">
        <v>0.70201326284680043</v>
      </c>
      <c r="CN92">
        <v>2.8364735867000214E-17</v>
      </c>
      <c r="CO92">
        <v>0.71216387073986642</v>
      </c>
      <c r="CP92">
        <v>0</v>
      </c>
      <c r="CR92" s="5">
        <v>-5.5433389075125739E-3</v>
      </c>
      <c r="CS92" s="5">
        <v>-0.21315645152195808</v>
      </c>
      <c r="CT92" s="5">
        <v>4.1366042554138218</v>
      </c>
      <c r="CU92" s="5">
        <v>2.7737940196836801</v>
      </c>
    </row>
    <row r="93" spans="1:108">
      <c r="A93">
        <v>26</v>
      </c>
      <c r="B93">
        <f t="shared" si="19"/>
        <v>0.46666666666666667</v>
      </c>
      <c r="C93">
        <v>4</v>
      </c>
      <c r="D93">
        <v>21164122.355999999</v>
      </c>
      <c r="E93">
        <v>111218212.36249</v>
      </c>
      <c r="F93">
        <v>-1001.78</v>
      </c>
      <c r="G93">
        <v>21164121.909000002</v>
      </c>
      <c r="H93">
        <v>86663538.861479998</v>
      </c>
      <c r="J93" s="5">
        <f>'sv04'!$AA$3+'sv04'!$Z$3*($B93)+'sv04'!$Y$3*($B93)^2+'sv04'!$X$3*($B93)^3+'sv04'!$W$3*($B93)^4+'sv04'!$V$3*($B93)^5+'sv04'!$U$3*($B93)^6+'sv04'!$T$3*($B93)^7+'sv04'!$S$3*($B93)^8</f>
        <v>21904.048475038751</v>
      </c>
      <c r="K93" s="5">
        <f>'sv04'!$AA$4+'sv04'!$Z$4*($B93)+'sv04'!$Y$4*($B93)^2+'sv04'!$X$4*($B93)^3+'sv04'!$W$4*($B93)^4+'sv04'!$V$4*($B93)^5+'sv04'!$U$4*($B93)^6+'sv04'!$T$4*($B93)^7+'sv04'!$S$4*($B93)^8</f>
        <v>-7019.3310430083447</v>
      </c>
      <c r="L93" s="5">
        <f>'sv04'!$AA$5+'sv04'!$Z$5*($B93)+'sv04'!$Y$5*($B93)^2+'sv04'!$X$5*($B93)^3+'sv04'!$W$5*($B93)^4+'sv04'!$V$5*($B93)^5+'sv04'!$U$5*($B93)^6+'sv04'!$T$5*($B93)^7+'sv04'!$S$5*($B93)^8</f>
        <v>13415.257583532763</v>
      </c>
      <c r="M93" s="5">
        <f>'sv04'!$AA$6+'sv04'!$Z$6*$B93+'sv04'!$Y$6*$B93^2+'sv04'!$X$6*$B93^3+'sv04'!$W$6*$B93^4+'sv04'!$V$6*$B93^5+'sv04'!$U$6*$B93^6+'sv04'!$T$6*$B93^7+'sv04'!$S$6*$B93^8</f>
        <v>86.601274244588183</v>
      </c>
      <c r="O93">
        <f>SQRT(($J93*1000-coord!$B$2)^2+($K93*1000-coord!$C$2)^2+($L93*1000-coord!$D$2)^2)/coord!$B$6</f>
        <v>7.068251436589025E-2</v>
      </c>
      <c r="Q93" s="5">
        <f>'sv04'!$AA$3+'sv04'!$Z$3*($B93-$O93/3600)+'sv04'!$Y$3*($B93-$O93/3600)^2+'sv04'!$X$3*($B93-$O93/3600)^3+'sv04'!$W$3*($B93-$O93/3600)^4+'sv04'!$V$3*($B93-$O93/3600)^5+'sv04'!$U$3*($B93-$O93/3600)^6+'sv04'!$T$3*($B93-$O93/3600)^7+'sv04'!$S$3*($B93-$O93/3600)^8+K93*coord!$B$7*O93</f>
        <v>21903.893892232445</v>
      </c>
      <c r="R93" s="5">
        <f>'sv04'!$AA$4+'sv04'!$Z$4*($B93-$O93/3600)+'sv04'!$Y$4*($B93-$O93/3600)^2+'sv04'!$X$4*($B93-$O93/3600)^3+'sv04'!$W$4*($B93-$O93/3600)^4+'sv04'!$V$4*($B93-$O93/3600)^5+'sv04'!$U$4*($B93-$O93/3600)^6+'sv04'!$T$4*($B93-$O93/3600)^7+'sv04'!$S$4*($B93-$O93/3600)^8-J93*coord!$B$7*O93</f>
        <v>-7019.4775452777376</v>
      </c>
      <c r="S93" s="5">
        <f>'sv04'!$AA$5+'sv04'!$Z$5*($B93-$O93/3600)+'sv04'!$Y$5*($B93-$O93/3600)^2+'sv04'!$X$5*($B93-$O93/3600)^3+'sv04'!$W$5*($B93-$O93/3600)^4+'sv04'!$V$5*($B93-$O93/3600)^5+'sv04'!$U$5*($B93-$O93/3600)^6+'sv04'!$T$5*($B93-$O93/3600)^7+'sv04'!$S$5*($B93-$O93/3600)^8</f>
        <v>13415.428586221175</v>
      </c>
      <c r="T93">
        <f>coord!$B$6*M93/10^6</f>
        <v>25962.408871717187</v>
      </c>
      <c r="U93">
        <f>SQRT(($Q93*1000+coord!$B$7*$O93*$R93*1000-coord!$B$2)^2+($R93*1000-coord!$B$7*$O93*$Q93*1000-coord!$C$2)^2+($S93*1000-coord!$D$2)^2)</f>
        <v>21190096.076358132</v>
      </c>
      <c r="V93" s="3">
        <f>$D93-(U93-$T93)-coord!$E$2</f>
        <v>-11.311486415565014</v>
      </c>
      <c r="W93" s="3"/>
      <c r="Y93">
        <f>-(Q93*1000-coord!$B$2)/$U93</f>
        <v>-0.82656613062618489</v>
      </c>
      <c r="Z93">
        <f>-(R93*1000-coord!$C$2)/$U93</f>
        <v>0.37489437187313845</v>
      </c>
      <c r="AA93">
        <f>-(S93*1000-coord!$D$2)/$U93</f>
        <v>-0.41981123067423454</v>
      </c>
      <c r="AB93">
        <v>1</v>
      </c>
      <c r="AD93">
        <v>1</v>
      </c>
      <c r="AE93">
        <v>1</v>
      </c>
      <c r="AF93">
        <v>1</v>
      </c>
      <c r="AG93">
        <v>1</v>
      </c>
      <c r="AH93">
        <v>1</v>
      </c>
      <c r="AI93">
        <v>1</v>
      </c>
      <c r="AJ93">
        <v>1</v>
      </c>
      <c r="AL93">
        <v>-3.1985644071671997</v>
      </c>
      <c r="AM93">
        <v>-0.12875006001377862</v>
      </c>
      <c r="AN93">
        <v>-3.4412573847432513</v>
      </c>
      <c r="AO93">
        <v>7</v>
      </c>
      <c r="AQ93">
        <v>1.9445848008528954</v>
      </c>
      <c r="AR93">
        <v>0.22901202993176711</v>
      </c>
      <c r="AS93">
        <v>1.9726459961617391</v>
      </c>
      <c r="AT93">
        <v>2.005392520728539</v>
      </c>
      <c r="AV93">
        <v>-33.074626810848713</v>
      </c>
      <c r="AX93">
        <v>9.0781209855716298</v>
      </c>
      <c r="BA93">
        <f>SQRT(($Q93*1000+coord!$B$7*$O93*$R93*1000-coord!$B$2-AX$90)^2+($R93*1000-coord!$B$7*$O93*$Q93*1000-coord!$C$2-AX$91)^2+($S93*1000-coord!$D$2-AX$92)^2)</f>
        <v>21190071.428194437</v>
      </c>
      <c r="BB93" s="3">
        <f t="shared" si="21"/>
        <v>4.2585562937517096</v>
      </c>
      <c r="BD93" s="1"/>
      <c r="BE93" s="1"/>
      <c r="BF93" s="1"/>
      <c r="BX93">
        <v>0</v>
      </c>
      <c r="BY93">
        <v>0</v>
      </c>
      <c r="BZ93">
        <v>0</v>
      </c>
      <c r="CA93">
        <v>1</v>
      </c>
      <c r="CD93" s="1"/>
      <c r="CE93" s="1"/>
      <c r="CF93" s="1"/>
      <c r="CH93">
        <v>1.9445848008528954</v>
      </c>
      <c r="CI93">
        <v>0.22901202993176711</v>
      </c>
      <c r="CJ93">
        <v>1.9726459961617391</v>
      </c>
      <c r="CK93">
        <v>2.005392520728539</v>
      </c>
      <c r="CM93">
        <v>0</v>
      </c>
      <c r="CN93">
        <v>0</v>
      </c>
      <c r="CO93">
        <v>0</v>
      </c>
      <c r="CP93">
        <v>1</v>
      </c>
      <c r="CR93" s="5">
        <v>-3.9171475480845874E-3</v>
      </c>
      <c r="CS93" s="5">
        <v>-0.1767489068046649</v>
      </c>
      <c r="CT93" s="5">
        <v>2.7737940196836801</v>
      </c>
      <c r="CU93" s="5">
        <v>2.005392520728539</v>
      </c>
    </row>
    <row r="94" spans="1:108">
      <c r="A94">
        <v>26</v>
      </c>
      <c r="B94">
        <f t="shared" si="19"/>
        <v>0.46666666666666667</v>
      </c>
      <c r="C94">
        <v>20</v>
      </c>
      <c r="D94">
        <v>23077917.177000001</v>
      </c>
      <c r="E94">
        <v>121275266.49146999</v>
      </c>
      <c r="F94">
        <v>-3073.44</v>
      </c>
      <c r="G94">
        <v>23077915.693999998</v>
      </c>
      <c r="H94">
        <v>94500201.801449999</v>
      </c>
      <c r="J94" s="5">
        <f>'sv20'!$AA$3+'sv20'!$Z$3*($B94)+'sv20'!$Y$3*($B94)^2+'sv20'!$X$3*($B94)^3+'sv20'!$W$3*($B94)^4+'sv20'!$V$3*($B94)^5+'sv20'!$U$3*($B94)^6+'sv20'!$T$3*($B94)^7+'sv20'!$S$3*($B94)^8</f>
        <v>14181.01613532555</v>
      </c>
      <c r="K94" s="5">
        <f>'sv20'!$AA$4+'sv20'!$Z$4*($B94)+'sv20'!$Y$4*($B94)^2+'sv20'!$X$4*($B94)^3+'sv20'!$W$4*($B94)^4+'sv20'!$V$4*($B94)^5+'sv20'!$U$4*($B94)^6+'sv20'!$T$4*($B94)^7+'sv20'!$S$4*($B94)^8</f>
        <v>21826.728260628079</v>
      </c>
      <c r="L94" s="5">
        <f>'sv20'!$AA$5+'sv20'!$Z$5*($B94)+'sv20'!$Y$5*($B94)^2+'sv20'!$X$5*($B94)^3+'sv20'!$W$5*($B94)^4+'sv20'!$V$5*($B94)^5+'sv20'!$U$5*($B94)^6+'sv20'!$T$5*($B94)^7+'sv20'!$S$5*($B94)^8</f>
        <v>5280.8016816399577</v>
      </c>
      <c r="M94" s="5">
        <f>'sv20'!$AA$6+'sv20'!$Z$6*$B94+'sv20'!$Y$6*$B94^2+'sv20'!$X$6*$B94^3+'sv20'!$W$6*$B94^4+'sv20'!$V$6*$B94^5+'sv20'!$U$6*$B94^6+'sv20'!$T$6*$B94^7+'sv20'!$S$6*$B94^8</f>
        <v>55.817768988958051</v>
      </c>
      <c r="O94">
        <f>SQRT(($J94*1000-coord!$B$2)^2+($K94*1000-coord!$C$2)^2+($L94*1000-coord!$D$2)^2)/coord!$B$6</f>
        <v>7.7035659931866271E-2</v>
      </c>
      <c r="Q94" s="5">
        <f>'sv20'!$AA$3+'sv20'!$Z$3*($B94-$O94/3600)+'sv20'!$Y$3*($B94-$O94/3600)^2+'sv20'!$X$3*($B94-$O94/3600)^3+'sv20'!$W$3*($B94-$O94/3600)^4+'sv20'!$V$3*($B94-$O94/3600)^5+'sv20'!$U$3*($B94-$O94/3600)^6+'sv20'!$T$3*($B94-$O94/3600)^7+'sv20'!$S$3*($B94-$O94/3600)^8+K94*coord!$B$7*O94</f>
        <v>14181.140784117173</v>
      </c>
      <c r="R94" s="5">
        <f>'sv20'!$AA$4+'sv20'!$Z$4*($B94-$O94/3600)+'sv20'!$Y$4*($B94-$O94/3600)^2+'sv20'!$X$4*($B94-$O94/3600)^3+'sv20'!$W$4*($B94-$O94/3600)^4+'sv20'!$V$4*($B94-$O94/3600)^5+'sv20'!$U$4*($B94-$O94/3600)^6+'sv20'!$T$4*($B94-$O94/3600)^7+'sv20'!$S$4*($B94-$O94/3600)^8-J94*coord!$B$7*O94</f>
        <v>21826.589374840427</v>
      </c>
      <c r="S94" s="5">
        <f>'sv20'!$AA$5+'sv20'!$Z$5*($B94-$O94/3600)+'sv20'!$Y$5*($B94-$O94/3600)^2+'sv20'!$X$5*($B94-$O94/3600)^3+'sv20'!$W$5*($B94-$O94/3600)^4+'sv20'!$V$5*($B94-$O94/3600)^5+'sv20'!$U$5*($B94-$O94/3600)^6+'sv20'!$T$5*($B94-$O94/3600)^7+'sv20'!$S$5*($B94-$O94/3600)^8</f>
        <v>5281.0345861591695</v>
      </c>
      <c r="T94">
        <f>coord!$B$6*M94/10^6</f>
        <v>16733.746165275908</v>
      </c>
      <c r="U94">
        <f>SQRT(($Q94*1000+coord!$B$7*$O94*$R94*1000-coord!$B$2)^2+($R94*1000-coord!$B$7*$O94*$Q94*1000-coord!$C$2)^2+($S94*1000-coord!$D$2)^2)</f>
        <v>23094624.562506504</v>
      </c>
      <c r="V94" s="3">
        <f>$D94-(U94-$T94)-coord!$E$2</f>
        <v>26.360658772289753</v>
      </c>
      <c r="W94" s="3"/>
      <c r="Y94">
        <f>-(Q94*1000-coord!$B$2)/$U94</f>
        <v>-0.4240061399055885</v>
      </c>
      <c r="Z94">
        <f>-(R94*1000-coord!$C$2)/$U94</f>
        <v>-0.90505992444554773</v>
      </c>
      <c r="AA94">
        <f>-(S94*1000-coord!$D$2)/$U94</f>
        <v>-3.2970716185417338E-2</v>
      </c>
      <c r="AB94">
        <v>1</v>
      </c>
      <c r="BA94">
        <f>SQRT(($Q94*1000+coord!$B$7*$O94*$R94*1000-coord!$B$2-AX$90)^2+($R94*1000-coord!$B$7*$O94*$Q94*1000-coord!$C$2-AX$91)^2+($S94*1000-coord!$D$2-AX$92)^2)</f>
        <v>23094638.005484089</v>
      </c>
      <c r="BB94" s="3">
        <f t="shared" si="21"/>
        <v>3.8395602018196513</v>
      </c>
      <c r="BD94" s="1"/>
      <c r="BE94" s="1"/>
      <c r="BF94" s="1"/>
      <c r="CD94" s="1"/>
      <c r="CE94" s="1"/>
      <c r="CF94" s="1"/>
    </row>
    <row r="95" spans="1:108">
      <c r="A95">
        <v>26</v>
      </c>
      <c r="B95">
        <f t="shared" si="19"/>
        <v>0.46666666666666667</v>
      </c>
      <c r="C95">
        <v>13</v>
      </c>
      <c r="D95">
        <v>20143748.826000001</v>
      </c>
      <c r="E95">
        <v>105856113.67749</v>
      </c>
      <c r="F95">
        <v>-708.96500000000003</v>
      </c>
      <c r="G95">
        <v>20143746.997000001</v>
      </c>
      <c r="H95">
        <v>82485275.388479993</v>
      </c>
      <c r="J95" s="5">
        <f>'sv13'!$AA$3+'sv13'!$Z$3*($B95)+'sv13'!$Y$3*($B95)^2+'sv13'!$X$3*($B95)^3+'sv13'!$W$3*($B95)^4+'sv13'!$V$3*($B95)^5+'sv13'!$U$3*($B95)^6+'sv13'!$T$3*($B95)^7+'sv13'!$S$3*($B95)^8</f>
        <v>14278.687100157762</v>
      </c>
      <c r="K95" s="5">
        <f>'sv13'!$AA$4+'sv13'!$Z$4*($B95)+'sv13'!$Y$4*($B95)^2+'sv13'!$X$4*($B95)^3+'sv13'!$W$4*($B95)^4+'sv13'!$V$4*($B95)^5+'sv13'!$U$4*($B95)^6+'sv13'!$T$4*($B95)^7+'sv13'!$S$4*($B95)^8</f>
        <v>5157.7938000721224</v>
      </c>
      <c r="L95" s="5">
        <f>'sv13'!$AA$5+'sv13'!$Z$5*($B95)+'sv13'!$Y$5*($B95)^2+'sv13'!$X$5*($B95)^3+'sv13'!$W$5*($B95)^4+'sv13'!$V$5*($B95)^5+'sv13'!$U$5*($B95)^6+'sv13'!$T$5*($B95)^7+'sv13'!$S$5*($B95)^8</f>
        <v>21658.010697420184</v>
      </c>
      <c r="M95" s="5">
        <f>'sv13'!$AA$6+'sv13'!$Z$6*$B95+'sv13'!$Y$6*$B95^2+'sv13'!$X$6*$B95^3+'sv13'!$W$6*$B95^4+'sv13'!$V$6*$B95^5+'sv13'!$U$6*$B95^6+'sv13'!$T$6*$B95^7+'sv13'!$S$6*$B95^8</f>
        <v>304.21945676326413</v>
      </c>
      <c r="O95">
        <f>SQRT(($J95*1000-coord!$B$2)^2+($K95*1000-coord!$C$2)^2+($L95*1000-coord!$D$2)^2)/coord!$B$6</f>
        <v>6.7496595817934713E-2</v>
      </c>
      <c r="Q95" s="5">
        <f>'sv13'!$AA$3+'sv13'!$Z$3*($B95-$O95/3600)+'sv13'!$Y$3*($B95-$O95/3600)^2+'sv13'!$X$3*($B95-$O95/3600)^3+'sv13'!$W$3*($B95-$O95/3600)^4+'sv13'!$V$3*($B95-$O95/3600)^5+'sv13'!$U$3*($B95-$O95/3600)^6+'sv13'!$T$3*($B95-$O95/3600)^7+'sv13'!$S$3*($B95-$O95/3600)^8+K95*coord!$B$7*O95</f>
        <v>14278.834167609151</v>
      </c>
      <c r="R95" s="5">
        <f>'sv13'!$AA$4+'sv13'!$Z$4*($B95-$O95/3600)+'sv13'!$Y$4*($B95-$O95/3600)^2+'sv13'!$X$4*($B95-$O95/3600)^3+'sv13'!$W$4*($B95-$O95/3600)^4+'sv13'!$V$4*($B95-$O95/3600)^5+'sv13'!$U$4*($B95-$O95/3600)^6+'sv13'!$T$4*($B95-$O95/3600)^7+'sv13'!$S$4*($B95-$O95/3600)^8-J95*coord!$B$7*O95</f>
        <v>5157.5811627186795</v>
      </c>
      <c r="S95" s="5">
        <f>'sv13'!$AA$5+'sv13'!$Z$5*($B95-$O95/3600)+'sv13'!$Y$5*($B95-$O95/3600)^2+'sv13'!$X$5*($B95-$O95/3600)^3+'sv13'!$W$5*($B95-$O95/3600)^4+'sv13'!$V$5*($B95-$O95/3600)^5+'sv13'!$U$5*($B95-$O95/3600)^6+'sv13'!$T$5*($B95-$O95/3600)^7+'sv13'!$S$5*($B95-$O95/3600)^8</f>
        <v>21657.964877379058</v>
      </c>
      <c r="T95">
        <f>coord!$B$6*M95/10^6</f>
        <v>91202.698714483675</v>
      </c>
      <c r="U95">
        <f>SQRT(($Q95*1000+coord!$B$7*$O95*$R95*1000-coord!$B$2)^2+($R95*1000-coord!$B$7*$O95*$Q95*1000-coord!$C$2)^2+($S95*1000-coord!$D$2)^2)</f>
        <v>20234956.660271812</v>
      </c>
      <c r="V95" s="3">
        <f>$D95-(U95-$T95)-coord!$E$2</f>
        <v>-5.1355573274195194</v>
      </c>
      <c r="W95" s="3"/>
      <c r="Y95">
        <f>-(Q95*1000-coord!$B$2)/$U95</f>
        <v>-0.48875597624711203</v>
      </c>
      <c r="Z95">
        <f>-(R95*1000-coord!$C$2)/$U95</f>
        <v>-0.20919298324120147</v>
      </c>
      <c r="AA95">
        <f>-(S95*1000-coord!$D$2)/$U95</f>
        <v>-0.84696878233139949</v>
      </c>
      <c r="AB95">
        <v>1</v>
      </c>
      <c r="BA95">
        <f>SQRT(($Q95*1000+coord!$B$7*$O95*$R95*1000-coord!$B$2-AX$90)^2+($R95*1000-coord!$B$7*$O95*$Q95*1000-coord!$C$2-AX$91)^2+($S95*1000-coord!$D$2-AX$92)^2)</f>
        <v>20234939.822929576</v>
      </c>
      <c r="BB95" s="3">
        <f t="shared" si="21"/>
        <v>2.6236639231998851</v>
      </c>
      <c r="BD95" s="1"/>
      <c r="BE95" s="1"/>
      <c r="BF95" s="1"/>
      <c r="CD95" s="1"/>
      <c r="CE95" s="1"/>
      <c r="CF95" s="1"/>
    </row>
    <row r="96" spans="1:108">
      <c r="A96">
        <v>26</v>
      </c>
      <c r="B96">
        <f t="shared" si="19"/>
        <v>0.46666666666666667</v>
      </c>
      <c r="C96">
        <v>7</v>
      </c>
      <c r="D96">
        <v>21796376.335000001</v>
      </c>
      <c r="E96">
        <v>114540734.82148001</v>
      </c>
      <c r="F96">
        <v>2842.163</v>
      </c>
      <c r="G96">
        <v>21796374.977000002</v>
      </c>
      <c r="H96">
        <v>89252521.262470007</v>
      </c>
      <c r="J96" s="5">
        <f>'sv07'!$AA$3+'sv07'!$Z$3*($B96)+'sv07'!$Y$3*($B96)^2+'sv07'!$X$3*($B96)^3+'sv07'!$W$3*($B96)^4+'sv07'!$V$3*($B96)^5+'sv07'!$U$3*($B96)^6+'sv07'!$T$3*($B96)^7+'sv07'!$S$3*($B96)^8</f>
        <v>25476.186869044453</v>
      </c>
      <c r="K96" s="5">
        <f>'sv07'!$AA$4+'sv07'!$Z$4*($B96)+'sv07'!$Y$4*($B96)^2+'sv07'!$X$4*($B96)^3+'sv07'!$W$4*($B96)^4+'sv07'!$V$4*($B96)^5+'sv07'!$U$4*($B96)^6+'sv07'!$T$4*($B96)^7+'sv07'!$S$4*($B96)^8</f>
        <v>6437.3997354165549</v>
      </c>
      <c r="L96" s="5">
        <f>'sv07'!$AA$5+'sv07'!$Z$5*($B96)+'sv07'!$Y$5*($B96)^2+'sv07'!$X$5*($B96)^3+'sv07'!$W$5*($B96)^4+'sv07'!$V$5*($B96)^5+'sv07'!$U$5*($B96)^6+'sv07'!$T$5*($B96)^7+'sv07'!$S$5*($B96)^8</f>
        <v>4440.3175383837415</v>
      </c>
      <c r="M96" s="5">
        <f>'sv07'!$AA$6+'sv07'!$Z$6*$B96+'sv07'!$Y$6*$B96^2+'sv07'!$X$6*$B96^3+'sv07'!$W$6*$B96^4+'sv07'!$V$6*$B96^5+'sv07'!$U$6*$B96^6+'sv07'!$T$6*$B96^7+'sv07'!$S$6*$B96^8</f>
        <v>-0.63782911802882403</v>
      </c>
      <c r="O96">
        <f>SQRT(($J96*1000-coord!$B$2)^2+($K96*1000-coord!$C$2)^2+($L96*1000-coord!$D$2)^2)/coord!$B$6</f>
        <v>7.2704131033146907E-2</v>
      </c>
      <c r="Q96" s="5">
        <f>'sv07'!$AA$3+'sv07'!$Z$3*($B96-$O96/3600)+'sv07'!$Y$3*($B96-$O96/3600)^2+'sv07'!$X$3*($B96-$O96/3600)^3+'sv07'!$W$3*($B96-$O96/3600)^4+'sv07'!$V$3*($B96-$O96/3600)^5+'sv07'!$U$3*($B96-$O96/3600)^6+'sv07'!$T$3*($B96-$O96/3600)^7+'sv07'!$S$3*($B96-$O96/3600)^8+K96*coord!$B$7*O96</f>
        <v>25476.26368369484</v>
      </c>
      <c r="R96" s="5">
        <f>'sv07'!$AA$4+'sv07'!$Z$4*($B96-$O96/3600)+'sv07'!$Y$4*($B96-$O96/3600)^2+'sv07'!$X$4*($B96-$O96/3600)^3+'sv07'!$W$4*($B96-$O96/3600)^4+'sv07'!$V$4*($B96-$O96/3600)^5+'sv07'!$U$4*($B96-$O96/3600)^6+'sv07'!$T$4*($B96-$O96/3600)^7+'sv07'!$S$4*($B96-$O96/3600)^8-J96*coord!$B$7*O96</f>
        <v>6437.2535694615681</v>
      </c>
      <c r="S96" s="5">
        <f>'sv07'!$AA$5+'sv07'!$Z$5*($B96-$O96/3600)+'sv07'!$Y$5*($B96-$O96/3600)^2+'sv07'!$X$5*($B96-$O96/3600)^3+'sv07'!$W$5*($B96-$O96/3600)^4+'sv07'!$V$5*($B96-$O96/3600)^5+'sv07'!$U$5*($B96-$O96/3600)^6+'sv07'!$T$5*($B96-$O96/3600)^7+'sv07'!$S$5*($B96-$O96/3600)^8</f>
        <v>4440.0905198152486</v>
      </c>
      <c r="T96">
        <f>coord!$B$6*M96/10^6</f>
        <v>-191.21635907783326</v>
      </c>
      <c r="U96">
        <f>SQRT(($Q96*1000+coord!$B$7*$O96*$R96*1000-coord!$B$2)^2+($R96*1000-coord!$B$7*$O96*$Q96*1000-coord!$C$2)^2+($S96*1000-coord!$D$2)^2)</f>
        <v>21796187.181629688</v>
      </c>
      <c r="V96" s="3">
        <f>$D96-(U96-$T96)-coord!$E$2</f>
        <v>-2.0629887655377388</v>
      </c>
      <c r="W96" s="3" t="s">
        <v>127</v>
      </c>
      <c r="X96" s="1" t="s">
        <v>128</v>
      </c>
      <c r="Y96">
        <f>-(Q96*1000-coord!$B$2)/$U96</f>
        <v>-0.96748047432202999</v>
      </c>
      <c r="Z96">
        <f>-(R96*1000-coord!$C$2)/$U96</f>
        <v>-0.25291961893719561</v>
      </c>
      <c r="AA96">
        <f>-(S96*1000-coord!$D$2)/$U96</f>
        <v>3.6473239022168859E-3</v>
      </c>
      <c r="AB96">
        <v>1</v>
      </c>
      <c r="BA96">
        <f>SQRT(($Q96*1000+coord!$B$7*$O96*$R96*1000-coord!$B$2-AX$90)^2+($R96*1000-coord!$B$7*$O96*$Q96*1000-coord!$C$2-AX$91)^2+($S96*1000-coord!$D$2-AX$92)^2)</f>
        <v>21796181.86544577</v>
      </c>
      <c r="BB96" s="3">
        <f t="shared" si="21"/>
        <v>-5.8249258338849614</v>
      </c>
      <c r="BC96" s="3" t="s">
        <v>127</v>
      </c>
      <c r="BD96" s="1" t="s">
        <v>128</v>
      </c>
      <c r="BE96" s="1"/>
      <c r="BF96" s="1"/>
      <c r="CD96" s="1"/>
      <c r="CE96" s="1"/>
      <c r="CF96" s="1"/>
    </row>
    <row r="97" spans="1:108">
      <c r="A97" s="7" t="s">
        <v>120</v>
      </c>
      <c r="V97" s="3"/>
      <c r="W97" s="3">
        <f>AVERAGE($V90:$V96)</f>
        <v>-4.7249466872641017</v>
      </c>
      <c r="X97" s="1">
        <f>SQRT(DEVSQ($V90:$V96)/6)</f>
        <v>16.474111648820205</v>
      </c>
      <c r="BB97" s="3"/>
      <c r="BC97" s="3">
        <f>AVERAGE($BB90:$BB96)</f>
        <v>6.3644085808992455E-5</v>
      </c>
      <c r="BD97" s="1">
        <f>SQRT(DEVSQ($BB90:$BB96)/6)</f>
        <v>4.8459159730794736</v>
      </c>
      <c r="BE97" s="1"/>
      <c r="BF97" s="1"/>
      <c r="CD97" s="1"/>
      <c r="CE97" s="1"/>
      <c r="CF97" s="1"/>
    </row>
    <row r="98" spans="1:108">
      <c r="A98">
        <v>28</v>
      </c>
      <c r="B98">
        <f t="shared" si="19"/>
        <v>0.48333333333333334</v>
      </c>
      <c r="C98">
        <v>2</v>
      </c>
      <c r="D98">
        <v>22548428.445999999</v>
      </c>
      <c r="E98">
        <v>118492796.46348999</v>
      </c>
      <c r="F98">
        <v>2187.4870000000001</v>
      </c>
      <c r="G98">
        <v>22548425.774999999</v>
      </c>
      <c r="H98">
        <v>92332038.561470002</v>
      </c>
      <c r="J98" s="5">
        <f>'sv02'!$AA$3+'sv02'!$Z$3*($B98)+'sv02'!$Y$3*($B98)^2+'sv02'!$X$3*($B98)^3+'sv02'!$W$3*($B98)^4+'sv02'!$V$3*($B98)^5+'sv02'!$U$3*($B98)^6+'sv02'!$T$3*($B98)^7+'sv02'!$S$3*($B98)^8</f>
        <v>7807.0500105290721</v>
      </c>
      <c r="K98" s="5">
        <f>'sv02'!$AA$4+'sv02'!$Z$4*($B98)+'sv02'!$Y$4*($B98)^2+'sv02'!$X$4*($B98)^3+'sv02'!$W$4*($B98)^4+'sv02'!$V$4*($B98)^5+'sv02'!$U$4*($B98)^6+'sv02'!$T$4*($B98)^7+'sv02'!$S$4*($B98)^8</f>
        <v>-14422.424297567884</v>
      </c>
      <c r="L98" s="5">
        <f>'sv02'!$AA$5+'sv02'!$Z$5*($B98)+'sv02'!$Y$5*($B98)^2+'sv02'!$X$5*($B98)^3+'sv02'!$W$5*($B98)^4+'sv02'!$V$5*($B98)^5+'sv02'!$U$5*($B98)^6+'sv02'!$T$5*($B98)^7+'sv02'!$S$5*($B98)^8</f>
        <v>20789.343876004132</v>
      </c>
      <c r="M98" s="5">
        <f>'sv02'!$AA$6+'sv02'!$Z$6*$B98+'sv02'!$Y$6*$B98^2+'sv02'!$X$6*$B98^3+'sv02'!$W$6*$B98^4+'sv02'!$V$6*$B98^5+'sv02'!$U$6*$B98^6+'sv02'!$T$6*$B98^7+'sv02'!$S$6*$B98^8</f>
        <v>257.59250074537914</v>
      </c>
      <c r="O98">
        <f>SQRT(($J98*1000-coord!$B$2)^2+($K98*1000-coord!$C$2)^2+($L98*1000-coord!$D$2)^2)/coord!$B$6</f>
        <v>7.547097457808799E-2</v>
      </c>
      <c r="Q98" s="5">
        <f>'sv02'!$AA$3+'sv02'!$Z$3*($B98-$O98/3600)+'sv02'!$Y$3*($B98-$O98/3600)^2+'sv02'!$X$3*($B98-$O98/3600)^3+'sv02'!$W$3*($B98-$O98/3600)^4+'sv02'!$V$3*($B98-$O98/3600)^5+'sv02'!$U$3*($B98-$O98/3600)^6+'sv02'!$T$3*($B98-$O98/3600)^7+'sv02'!$S$3*($B98-$O98/3600)^8+K98*coord!$B$7*O98</f>
        <v>7806.7717657993207</v>
      </c>
      <c r="R98" s="5">
        <f>'sv02'!$AA$4+'sv02'!$Z$4*($B98-$O98/3600)+'sv02'!$Y$4*($B98-$O98/3600)^2+'sv02'!$X$4*($B98-$O98/3600)^3+'sv02'!$W$4*($B98-$O98/3600)^4+'sv02'!$V$4*($B98-$O98/3600)^5+'sv02'!$U$4*($B98-$O98/3600)^6+'sv02'!$T$4*($B98-$O98/3600)^7+'sv02'!$S$4*($B98-$O98/3600)^8-J98*coord!$B$7*O98</f>
        <v>-14422.49686632325</v>
      </c>
      <c r="S98" s="5">
        <f>'sv02'!$AA$5+'sv02'!$Z$5*($B98-$O98/3600)+'sv02'!$Y$5*($B98-$O98/3600)^2+'sv02'!$X$5*($B98-$O98/3600)^3+'sv02'!$W$5*($B98-$O98/3600)^4+'sv02'!$V$5*($B98-$O98/3600)^5+'sv02'!$U$5*($B98-$O98/3600)^6+'sv02'!$T$5*($B98-$O98/3600)^7+'sv02'!$S$5*($B98-$O98/3600)^8</f>
        <v>20789.401403302239</v>
      </c>
      <c r="T98">
        <f>coord!$B$6*M98/10^6</f>
        <v>77224.288960824051</v>
      </c>
      <c r="U98">
        <f>SQRT(($Q98*1000+coord!$B$7*$O98*$R98*1000-coord!$B$2)^2+($R98*1000-coord!$B$7*$O98*$Q98*1000-coord!$C$2)^2+($S98*1000-coord!$D$2)^2)</f>
        <v>22625694.685381744</v>
      </c>
      <c r="V98" s="3">
        <f>$D98-(U98-$T98)-coord!$E$2</f>
        <v>-41.950420919805765</v>
      </c>
      <c r="W98" s="3"/>
      <c r="Y98">
        <f>-(Q98*1000-coord!$B$2)/$U98</f>
        <v>-0.15106248194923225</v>
      </c>
      <c r="Z98">
        <f>-(R98*1000-coord!$C$2)/$U98</f>
        <v>0.67830258000603394</v>
      </c>
      <c r="AA98">
        <f>-(S98*1000-coord!$D$2)/$U98</f>
        <v>-0.71908568356639324</v>
      </c>
      <c r="AB98">
        <v>1</v>
      </c>
      <c r="AD98">
        <f t="array" ref="AD98:AJ101">TRANSPOSE(Y98:AB104)</f>
        <v>-0.15106248194923225</v>
      </c>
      <c r="AE98">
        <v>-0.18591643210221856</v>
      </c>
      <c r="AF98">
        <v>-0.15988721883295001</v>
      </c>
      <c r="AG98">
        <v>-0.8308285737691925</v>
      </c>
      <c r="AH98">
        <v>-0.42328388085991125</v>
      </c>
      <c r="AI98">
        <v>-0.48322028372238029</v>
      </c>
      <c r="AJ98">
        <v>-0.96726650083993959</v>
      </c>
      <c r="AL98">
        <f t="array" ref="AL98:AO101">MMULT(AD98:AJ101,Y98:AB104)</f>
        <v>2.1215004049594732</v>
      </c>
      <c r="AM98">
        <v>0.30734041900373954</v>
      </c>
      <c r="AN98">
        <v>1.1257669792162794</v>
      </c>
      <c r="AO98">
        <v>-3.2014653720758246</v>
      </c>
      <c r="AQ98">
        <f t="array" ref="AQ98:AT101">MINVERSE(AL98:AO101)</f>
        <v>2.5688528267494202</v>
      </c>
      <c r="AR98">
        <v>9.19801307559691E-2</v>
      </c>
      <c r="AS98">
        <v>1.5918293502586396</v>
      </c>
      <c r="AT98">
        <v>1.9585157777795001</v>
      </c>
      <c r="AV98">
        <f t="array" ref="AV98:AV101">MMULT(AD98:AJ101,V98:V104)</f>
        <v>3.9340357031637829</v>
      </c>
      <c r="AX98">
        <f t="array" ref="AX98:AX101">MMULT(AQ98:AT101,AV98:AV101)</f>
        <v>7.0394443889837532</v>
      </c>
      <c r="BA98">
        <f>SQRT(($Q98*1000+coord!$B$7*$O98*$R98*1000-coord!$B$2-AX$98)^2+($R98*1000-coord!$B$7*$O98*$Q98*1000-coord!$C$2-AX$99)^2+($S98*1000-coord!$D$2-AX$100)^2)</f>
        <v>22625650.298679598</v>
      </c>
      <c r="BB98" s="3">
        <f>$D98-(BA98-$T98)-AX$101</f>
        <v>-6.536459144592726</v>
      </c>
      <c r="BD98" s="1">
        <f>coord!$B$2+$AX98</f>
        <v>4388885.2102443893</v>
      </c>
      <c r="BE98" s="1">
        <f>coord!$C$2+$AX99</f>
        <v>924533.62472455658</v>
      </c>
      <c r="BF98" s="1">
        <f>coord!$D$2+$AX100</f>
        <v>4519614.0086545162</v>
      </c>
      <c r="BG98" s="1">
        <f>coord!$E$2+$AX101</f>
        <v>8.9727403711681006</v>
      </c>
      <c r="BH98" s="8">
        <f>lat($BD98,$BE98,$BF98)</f>
        <v>45.41133801398238</v>
      </c>
      <c r="BI98" s="8">
        <f>lon($BD98,$BE98,$BF98)</f>
        <v>11.895630637627377</v>
      </c>
      <c r="BJ98" s="6">
        <f>h($BD98,$BE98,$BF98)</f>
        <v>79.989250144921243</v>
      </c>
      <c r="BL98">
        <f>grado($BH98)</f>
        <v>45</v>
      </c>
      <c r="BM98">
        <f>MINUTOprimo($BH98)</f>
        <v>24</v>
      </c>
      <c r="BN98">
        <f>MINUTOsecondo($BH98)</f>
        <v>40.816850336569246</v>
      </c>
      <c r="BO98">
        <f>grado($BI98)</f>
        <v>11</v>
      </c>
      <c r="BP98">
        <f>MINUTOprimo($BI98)</f>
        <v>53</v>
      </c>
      <c r="BQ98">
        <f>MINUTOsecondo($BI98)</f>
        <v>44.270295458558167</v>
      </c>
      <c r="BS98">
        <f>-SIN(RADIANS(BH98))*COS(RADIANS(BI98))</f>
        <v>-0.69687102675182933</v>
      </c>
      <c r="BT98">
        <f>-SIN(RADIANS(BI98))</f>
        <v>-0.20612956393712148</v>
      </c>
      <c r="BU98">
        <f>COS(RADIANS(BH98))*COS(RADIANS(BI98))</f>
        <v>0.68693622334605653</v>
      </c>
      <c r="BW98" t="s">
        <v>93</v>
      </c>
      <c r="BX98">
        <f t="array" ref="BX98:BZ100">MINVERSE(BS98:BU100)</f>
        <v>-0.69687102675182921</v>
      </c>
      <c r="BY98">
        <v>-0.14679825638284863</v>
      </c>
      <c r="BZ98">
        <v>0.70201213949390273</v>
      </c>
      <c r="CA98">
        <v>0</v>
      </c>
      <c r="CB98" s="1">
        <f t="array" ref="CB98:CB100">MMULT(BX98:BZ100,AX98:AX100)</f>
        <v>18.531368832003714</v>
      </c>
      <c r="CD98" s="1">
        <f t="array" ref="CD98:CF98">TRANSPOSE(CB98:CB100)</f>
        <v>18.531368832003714</v>
      </c>
      <c r="CE98" s="1">
        <v>-37.253764827434523</v>
      </c>
      <c r="CF98" s="1">
        <v>17.868203332437261</v>
      </c>
      <c r="CH98">
        <f t="array" ref="CH98:CK101">MMULT(BX98:CA101,AQ98:AT101)</f>
        <v>-0.68617810188379313</v>
      </c>
      <c r="CI98">
        <v>0.14303491230858728</v>
      </c>
      <c r="CJ98">
        <v>0.62752000441934963</v>
      </c>
      <c r="CK98">
        <v>-2.6407859003128031E-3</v>
      </c>
      <c r="CM98">
        <f t="array" ref="CM98:CP101">TRANSPOSE(BX98:CA101)</f>
        <v>-0.69687102675182921</v>
      </c>
      <c r="CN98">
        <v>-0.20612956393712145</v>
      </c>
      <c r="CO98">
        <v>0.68693622334605653</v>
      </c>
      <c r="CP98">
        <v>0</v>
      </c>
      <c r="CR98" s="5">
        <f t="array" ref="CR98:CU101">MMULT(CH98:CK101,CM98:CP101)</f>
        <v>0.89770702354325693</v>
      </c>
      <c r="CS98" s="5">
        <v>0.28140478863039758</v>
      </c>
      <c r="CT98" s="5">
        <v>-3.764891421908001E-3</v>
      </c>
      <c r="CU98" s="5">
        <v>-2.6407859003128031E-3</v>
      </c>
      <c r="CW98" s="3">
        <f>SQRT(CR98+CS99)</f>
        <v>1.1984760758732826</v>
      </c>
      <c r="CX98" s="3">
        <f>CT100</f>
        <v>4.1768743305423488</v>
      </c>
      <c r="CY98" s="3">
        <f>CU101</f>
        <v>2.0220974796710549</v>
      </c>
      <c r="CZ98" s="3">
        <f>BD105</f>
        <v>4.9067466537211617</v>
      </c>
      <c r="DA98">
        <v>6</v>
      </c>
      <c r="DB98" s="6">
        <f>CY98*DA98*CZ98</f>
        <v>59.531520251243656</v>
      </c>
      <c r="DC98">
        <v>5.33</v>
      </c>
      <c r="DD98" s="6">
        <f>CZ98*DC98*SQRT(0.5*(CR98+CS99)+SQRT((0.5*(CR98-CS99))^2+CS98^2))</f>
        <v>26.823946885725459</v>
      </c>
    </row>
    <row r="99" spans="1:108">
      <c r="A99">
        <v>28</v>
      </c>
      <c r="B99">
        <f t="shared" si="19"/>
        <v>0.48333333333333334</v>
      </c>
      <c r="C99">
        <v>23</v>
      </c>
      <c r="D99">
        <v>21148475.594999999</v>
      </c>
      <c r="E99">
        <v>111135985.98249</v>
      </c>
      <c r="F99">
        <v>-1973.078</v>
      </c>
      <c r="G99">
        <v>21148471.984000001</v>
      </c>
      <c r="H99">
        <v>86599455.879470006</v>
      </c>
      <c r="J99" s="5">
        <f>'sv23'!$AA$3+'sv23'!$Z$3*($B99)+'sv23'!$Y$3*($B99)^2+'sv23'!$X$3*($B99)^3+'sv23'!$W$3*($B99)^4+'sv23'!$V$3*($B99)^5+'sv23'!$U$3*($B99)^6+'sv23'!$T$3*($B99)^7+'sv23'!$S$3*($B99)^8</f>
        <v>8341.1615772005953</v>
      </c>
      <c r="K99" s="5">
        <f>'sv23'!$AA$4+'sv23'!$Z$4*($B99)+'sv23'!$Y$4*($B99)^2+'sv23'!$X$4*($B99)^3+'sv23'!$W$4*($B99)^4+'sv23'!$V$4*($B99)^5+'sv23'!$U$4*($B99)^6+'sv23'!$T$4*($B99)^7+'sv23'!$S$4*($B99)^8</f>
        <v>13278.98712817985</v>
      </c>
      <c r="L99" s="5">
        <f>'sv23'!$AA$5+'sv23'!$Z$5*($B99)+'sv23'!$Y$5*($B99)^2+'sv23'!$X$5*($B99)^3+'sv23'!$W$5*($B99)^4+'sv23'!$V$5*($B99)^5+'sv23'!$U$5*($B99)^6+'sv23'!$T$5*($B99)^7+'sv23'!$S$5*($B99)^8</f>
        <v>21363.356701660712</v>
      </c>
      <c r="M99" s="5">
        <f>'sv23'!$AA$6+'sv23'!$Z$6*$B99+'sv23'!$Y$6*$B99^2+'sv23'!$X$6*$B99^3+'sv23'!$W$6*$B99^4+'sv23'!$V$6*$B99^5+'sv23'!$U$6*$B99^6+'sv23'!$T$6*$B99^7+'sv23'!$S$6*$B99^8</f>
        <v>370.05642770582597</v>
      </c>
      <c r="O99">
        <f>SQRT(($J99*1000-coord!$B$2)^2+($K99*1000-coord!$C$2)^2+($L99*1000-coord!$D$2)^2)/coord!$B$6</f>
        <v>7.0913929847179744E-2</v>
      </c>
      <c r="Q99" s="5">
        <f>'sv23'!$AA$3+'sv23'!$Z$3*($B99-$O99/3600)+'sv23'!$Y$3*($B99-$O99/3600)^2+'sv23'!$X$3*($B99-$O99/3600)^3+'sv23'!$W$3*($B99-$O99/3600)^4+'sv23'!$V$3*($B99-$O99/3600)^5+'sv23'!$U$3*($B99-$O99/3600)^6+'sv23'!$T$3*($B99-$O99/3600)^7+'sv23'!$S$3*($B99-$O99/3600)^8+K99*coord!$B$7*O99</f>
        <v>8341.3518492296625</v>
      </c>
      <c r="R99" s="5">
        <f>'sv23'!$AA$4+'sv23'!$Z$4*($B99-$O99/3600)+'sv23'!$Y$4*($B99-$O99/3600)^2+'sv23'!$X$4*($B99-$O99/3600)^3+'sv23'!$W$4*($B99-$O99/3600)^4+'sv23'!$V$4*($B99-$O99/3600)^5+'sv23'!$U$4*($B99-$O99/3600)^6+'sv23'!$T$4*($B99-$O99/3600)^7+'sv23'!$S$4*($B99-$O99/3600)^8-J99*coord!$B$7*O99</f>
        <v>13278.793984401998</v>
      </c>
      <c r="S99" s="5">
        <f>'sv23'!$AA$5+'sv23'!$Z$5*($B99-$O99/3600)+'sv23'!$Y$5*($B99-$O99/3600)^2+'sv23'!$X$5*($B99-$O99/3600)^3+'sv23'!$W$5*($B99-$O99/3600)^4+'sv23'!$V$5*($B99-$O99/3600)^5+'sv23'!$U$5*($B99-$O99/3600)^6+'sv23'!$T$5*($B99-$O99/3600)^7+'sv23'!$S$5*($B99-$O99/3600)^8</f>
        <v>21363.404603287618</v>
      </c>
      <c r="T99">
        <f>coord!$B$6*M99/10^6</f>
        <v>110940.12606062886</v>
      </c>
      <c r="U99">
        <f>SQRT(($Q99*1000+coord!$B$7*$O99*$R99*1000-coord!$B$2)^2+($R99*1000-coord!$B$7*$O99*$Q99*1000-coord!$C$2)^2+($S99*1000-coord!$D$2)^2)</f>
        <v>21259410.12172908</v>
      </c>
      <c r="V99" s="3">
        <f>$D99-(U99-$T99)-coord!$E$2</f>
        <v>5.599331546574831</v>
      </c>
      <c r="W99" s="3"/>
      <c r="Y99">
        <f>-(Q99*1000-coord!$B$2)/$U99</f>
        <v>-0.18591643210221856</v>
      </c>
      <c r="Z99">
        <f>-(R99*1000-coord!$C$2)/$U99</f>
        <v>-0.5811179002833593</v>
      </c>
      <c r="AA99">
        <f>-(S99*1000-coord!$D$2)/$U99</f>
        <v>-0.7922993268647508</v>
      </c>
      <c r="AB99">
        <v>1</v>
      </c>
      <c r="AD99">
        <v>0.67830258000603394</v>
      </c>
      <c r="AE99">
        <v>-0.5811179002833593</v>
      </c>
      <c r="AF99">
        <v>0.75597308120866891</v>
      </c>
      <c r="AG99">
        <v>0.37335407534084725</v>
      </c>
      <c r="AH99">
        <v>-0.90565116436872939</v>
      </c>
      <c r="AI99">
        <v>-0.21537492644283507</v>
      </c>
      <c r="AJ99">
        <v>-0.2537146878954184</v>
      </c>
      <c r="AL99">
        <v>0.30734041900373954</v>
      </c>
      <c r="AM99">
        <v>2.4396425024748916</v>
      </c>
      <c r="AN99">
        <v>-0.4545727328798701</v>
      </c>
      <c r="AO99">
        <v>-0.14822894243479212</v>
      </c>
      <c r="AQ99">
        <v>9.1980130755969058E-2</v>
      </c>
      <c r="AR99">
        <v>0.48729923670309844</v>
      </c>
      <c r="AS99">
        <v>0.39695592579762673</v>
      </c>
      <c r="AT99">
        <v>0.24731877989651732</v>
      </c>
      <c r="AV99">
        <v>-100.12744968157969</v>
      </c>
      <c r="AX99">
        <v>-36.588475443373277</v>
      </c>
      <c r="BA99">
        <f>SQRT(($Q99*1000+coord!$B$7*$O99*$R99*1000-coord!$B$2-AX$98)^2+($R99*1000-coord!$B$7*$O99*$Q99*1000-coord!$C$2-AX$99)^2+($S99*1000-coord!$D$2-AX$100)^2)</f>
        <v>21259409.685838211</v>
      </c>
      <c r="BB99" s="3">
        <f t="shared" ref="BB99:BB104" si="22">$D99-(BA99-$T99)-AX$101</f>
        <v>-2.9375179562871097</v>
      </c>
      <c r="BD99" s="1"/>
      <c r="BE99" s="1"/>
      <c r="BF99" s="1"/>
      <c r="BS99">
        <f>-SIN(RADIANS(BH98))*SIN(RADIANS(BI98))</f>
        <v>-0.14679825638284866</v>
      </c>
      <c r="BT99">
        <f>COS(RADIANS(BI98))</f>
        <v>0.97852470733808872</v>
      </c>
      <c r="BU99">
        <f>COS(RADIANS(BH98))*SIN(RADIANS(BI98))</f>
        <v>0.14470545619244385</v>
      </c>
      <c r="BW99" t="s">
        <v>94</v>
      </c>
      <c r="BX99">
        <v>-0.20612956393712145</v>
      </c>
      <c r="BY99">
        <v>0.97852470733808872</v>
      </c>
      <c r="BZ99">
        <v>5.6729432394473254E-17</v>
      </c>
      <c r="CA99">
        <v>0</v>
      </c>
      <c r="CB99" s="1">
        <v>-37.253764827434523</v>
      </c>
      <c r="CD99" s="1"/>
      <c r="CE99" s="1"/>
      <c r="CF99" s="1"/>
      <c r="CH99">
        <v>-0.43951168246759598</v>
      </c>
      <c r="CI99">
        <v>0.45787451873736612</v>
      </c>
      <c r="CJ99">
        <v>6.0308091286118116E-2</v>
      </c>
      <c r="CK99">
        <v>-0.16170046652020775</v>
      </c>
      <c r="CM99">
        <v>-0.14679825638284863</v>
      </c>
      <c r="CN99">
        <v>0.97852470733808872</v>
      </c>
      <c r="CO99">
        <v>0.14470545619244382</v>
      </c>
      <c r="CP99">
        <v>0</v>
      </c>
      <c r="CR99" s="5">
        <v>0.28140478863039764</v>
      </c>
      <c r="CS99" s="5">
        <v>0.53863788089736553</v>
      </c>
      <c r="CT99" s="5">
        <v>-0.1927102436491713</v>
      </c>
      <c r="CU99" s="5">
        <v>-0.16170046652020775</v>
      </c>
    </row>
    <row r="100" spans="1:108">
      <c r="A100">
        <v>28</v>
      </c>
      <c r="B100">
        <f t="shared" si="19"/>
        <v>0.48333333333333334</v>
      </c>
      <c r="C100">
        <v>10</v>
      </c>
      <c r="D100">
        <v>22856656.249000002</v>
      </c>
      <c r="E100">
        <v>120112542.31148</v>
      </c>
      <c r="F100">
        <v>3011.6210000000001</v>
      </c>
      <c r="G100">
        <v>22856656.127</v>
      </c>
      <c r="H100">
        <v>93594192.453449994</v>
      </c>
      <c r="J100" s="5">
        <f>'sv10'!$AA$3+'sv10'!$Z$3*($B100)+'sv10'!$Y$3*($B100)^2+'sv10'!$X$3*($B100)^3+'sv10'!$W$3*($B100)^4+'sv10'!$V$3*($B100)^5+'sv10'!$U$3*($B100)^6+'sv10'!$T$3*($B100)^7+'sv10'!$S$3*($B100)^8</f>
        <v>8041.4810147186508</v>
      </c>
      <c r="K100" s="5">
        <f>'sv10'!$AA$4+'sv10'!$Z$4*($B100)+'sv10'!$Y$4*($B100)^2+'sv10'!$X$4*($B100)^3+'sv10'!$W$4*($B100)^4+'sv10'!$V$4*($B100)^5+'sv10'!$U$4*($B100)^6+'sv10'!$T$4*($B100)^7+'sv10'!$S$4*($B100)^8</f>
        <v>-16344.509822880591</v>
      </c>
      <c r="L100" s="5">
        <f>'sv10'!$AA$5+'sv10'!$Z$5*($B100)+'sv10'!$Y$5*($B100)^2+'sv10'!$X$5*($B100)^3+'sv10'!$W$5*($B100)^4+'sv10'!$V$5*($B100)^5+'sv10'!$U$5*($B100)^6+'sv10'!$T$5*($B100)^7+'sv10'!$S$5*($B100)^8</f>
        <v>19020.368792969526</v>
      </c>
      <c r="M100" s="5">
        <f>'sv10'!$AA$6+'sv10'!$Z$6*$B100+'sv10'!$Y$6*$B100^2+'sv10'!$X$6*$B100^3+'sv10'!$W$6*$B100^4+'sv10'!$V$6*$B100^5+'sv10'!$U$6*$B100^6+'sv10'!$T$6*$B100^7+'sv10'!$S$6*$B100^8</f>
        <v>-43.001545616412827</v>
      </c>
      <c r="O100">
        <f>SQRT(($J100*1000-coord!$B$2)^2+($K100*1000-coord!$C$2)^2+($L100*1000-coord!$D$2)^2)/coord!$B$6</f>
        <v>7.6198427852774836E-2</v>
      </c>
      <c r="Q100" s="5">
        <f>'sv10'!$AA$3+'sv10'!$Z$3*($B100-$O100/3600)+'sv10'!$Y$3*($B100-$O100/3600)^2+'sv10'!$X$3*($B100-$O100/3600)^3+'sv10'!$W$3*($B100-$O100/3600)^4+'sv10'!$V$3*($B100-$O100/3600)^5+'sv10'!$U$3*($B100-$O100/3600)^6+'sv10'!$T$3*($B100-$O100/3600)^7+'sv10'!$S$3*($B100-$O100/3600)^8+K100*coord!$B$7*O100</f>
        <v>8041.309205286776</v>
      </c>
      <c r="R100" s="5">
        <f>'sv10'!$AA$4+'sv10'!$Z$4*($B100-$O100/3600)+'sv10'!$Y$4*($B100-$O100/3600)^2+'sv10'!$X$4*($B100-$O100/3600)^3+'sv10'!$W$4*($B100-$O100/3600)^4+'sv10'!$V$4*($B100-$O100/3600)^5+'sv10'!$U$4*($B100-$O100/3600)^6+'sv10'!$T$4*($B100-$O100/3600)^7+'sv10'!$S$4*($B100-$O100/3600)^8-J100*coord!$B$7*O100</f>
        <v>-16344.724751070842</v>
      </c>
      <c r="S100" s="5">
        <f>'sv10'!$AA$5+'sv10'!$Z$5*($B100-$O100/3600)+'sv10'!$Y$5*($B100-$O100/3600)^2+'sv10'!$X$5*($B100-$O100/3600)^3+'sv10'!$W$5*($B100-$O100/3600)^4+'sv10'!$V$5*($B100-$O100/3600)^5+'sv10'!$U$5*($B100-$O100/3600)^6+'sv10'!$T$5*($B100-$O100/3600)^7+'sv10'!$S$5*($B100-$O100/3600)^8</f>
        <v>19020.255218756447</v>
      </c>
      <c r="T100">
        <f>coord!$B$6*M100/10^6</f>
        <v>-12891.539058143526</v>
      </c>
      <c r="U100">
        <f>SQRT(($Q100*1000+coord!$B$7*$O100*$R100*1000-coord!$B$2)^2+($R100*1000-coord!$B$7*$O100*$Q100*1000-coord!$C$2)^2+($S100*1000-coord!$D$2)^2)</f>
        <v>22843796.152979754</v>
      </c>
      <c r="V100" s="3">
        <f>$D100-(U100-$T100)-coord!$E$2</f>
        <v>-31.443037897348404</v>
      </c>
      <c r="W100" s="3"/>
      <c r="Y100">
        <f>-(Q100*1000-coord!$B$2)/$U100</f>
        <v>-0.15988721883295001</v>
      </c>
      <c r="Z100">
        <f>-(R100*1000-coord!$C$2)/$U100</f>
        <v>0.75597308120866891</v>
      </c>
      <c r="AA100">
        <f>-(S100*1000-coord!$D$2)/$U100</f>
        <v>-0.63477483546730806</v>
      </c>
      <c r="AB100">
        <v>1</v>
      </c>
      <c r="AD100">
        <v>-0.71908568356639324</v>
      </c>
      <c r="AE100">
        <v>-0.7922993268647508</v>
      </c>
      <c r="AF100">
        <v>-0.63477483546730806</v>
      </c>
      <c r="AG100">
        <v>-0.41270987941528303</v>
      </c>
      <c r="AH100">
        <v>-2.5069262247888833E-2</v>
      </c>
      <c r="AI100">
        <v>-0.84859415561654106</v>
      </c>
      <c r="AJ100">
        <v>-4.947737082710929E-3</v>
      </c>
      <c r="AL100">
        <v>1.1257669792162794</v>
      </c>
      <c r="AM100">
        <v>-0.4545727328798701</v>
      </c>
      <c r="AN100">
        <v>2.4388559689284528</v>
      </c>
      <c r="AO100">
        <v>-3.4374808802608756</v>
      </c>
      <c r="AQ100">
        <v>1.5918293502586398</v>
      </c>
      <c r="AR100">
        <v>0.39695592579762679</v>
      </c>
      <c r="AS100">
        <v>2.5570671715304534</v>
      </c>
      <c r="AT100">
        <v>1.9921280588371277</v>
      </c>
      <c r="AV100">
        <v>56.475657967961013</v>
      </c>
      <c r="AX100">
        <v>25.734354516073523</v>
      </c>
      <c r="BA100">
        <f>SQRT(($Q100*1000+coord!$B$7*$O100*$R100*1000-coord!$B$2-AX$98)^2+($R100*1000-coord!$B$7*$O100*$Q100*1000-coord!$C$2-AX$99)^2+($S100*1000-coord!$D$2-AX$100)^2)</f>
        <v>22843751.031996138</v>
      </c>
      <c r="BB100" s="3">
        <f t="shared" si="22"/>
        <v>4.7052053470011117</v>
      </c>
      <c r="BD100" s="1"/>
      <c r="BE100" s="1"/>
      <c r="BF100" s="1"/>
      <c r="BS100">
        <f>COS(RADIANS(BH98))</f>
        <v>0.70201213949390262</v>
      </c>
      <c r="BT100">
        <v>0</v>
      </c>
      <c r="BU100">
        <f>SIN(RADIANS(BH98))</f>
        <v>0.71216497807965351</v>
      </c>
      <c r="BW100" t="s">
        <v>95</v>
      </c>
      <c r="BX100">
        <v>0.68693622334605653</v>
      </c>
      <c r="BY100">
        <v>0.14470545619244382</v>
      </c>
      <c r="BZ100">
        <v>0.7121649780796534</v>
      </c>
      <c r="CA100">
        <v>0</v>
      </c>
      <c r="CB100" s="1">
        <v>17.868203332437261</v>
      </c>
      <c r="CD100" s="1"/>
      <c r="CE100" s="1"/>
      <c r="CF100" s="1"/>
      <c r="CH100">
        <v>2.9115932002542646</v>
      </c>
      <c r="CI100">
        <v>0.41639745018798879</v>
      </c>
      <c r="CJ100">
        <v>2.9719806165701028</v>
      </c>
      <c r="CK100">
        <v>2.799887643975004</v>
      </c>
      <c r="CM100">
        <v>0.70201213949390273</v>
      </c>
      <c r="CN100">
        <v>5.6729432394473254E-17</v>
      </c>
      <c r="CO100">
        <v>0.7121649780796534</v>
      </c>
      <c r="CP100">
        <v>0</v>
      </c>
      <c r="CR100" s="5">
        <v>-3.7648914219086116E-3</v>
      </c>
      <c r="CS100" s="5">
        <v>-0.19271024364917128</v>
      </c>
      <c r="CT100" s="5">
        <v>4.1768743305423488</v>
      </c>
      <c r="CU100" s="5">
        <v>2.799887643975004</v>
      </c>
    </row>
    <row r="101" spans="1:108">
      <c r="A101">
        <v>28</v>
      </c>
      <c r="B101">
        <f t="shared" si="19"/>
        <v>0.48333333333333334</v>
      </c>
      <c r="C101">
        <v>4</v>
      </c>
      <c r="D101">
        <v>21175777.502999999</v>
      </c>
      <c r="E101">
        <v>111279460.57249001</v>
      </c>
      <c r="F101">
        <v>-1040.097</v>
      </c>
      <c r="G101">
        <v>21175777.127999999</v>
      </c>
      <c r="H101">
        <v>86711264.690479994</v>
      </c>
      <c r="J101" s="5">
        <f>'sv04'!$AA$3+'sv04'!$Z$3*($B101)+'sv04'!$Y$3*($B101)^2+'sv04'!$X$3*($B101)^3+'sv04'!$W$3*($B101)^4+'sv04'!$V$3*($B101)^5+'sv04'!$U$3*($B101)^6+'sv04'!$T$3*($B101)^7+'sv04'!$S$3*($B101)^8</f>
        <v>22004.057030676253</v>
      </c>
      <c r="K101" s="5">
        <f>'sv04'!$AA$4+'sv04'!$Z$4*($B101)+'sv04'!$Y$4*($B101)^2+'sv04'!$X$4*($B101)^3+'sv04'!$W$4*($B101)^4+'sv04'!$V$4*($B101)^5+'sv04'!$U$4*($B101)^6+'sv04'!$T$4*($B101)^7+'sv04'!$S$4*($B101)^8</f>
        <v>-6991.0456249988865</v>
      </c>
      <c r="L101" s="5">
        <f>'sv04'!$AA$5+'sv04'!$Z$5*($B101)+'sv04'!$Y$5*($B101)^2+'sv04'!$X$5*($B101)^3+'sv04'!$W$5*($B101)^4+'sv04'!$V$5*($B101)^5+'sv04'!$U$5*($B101)^6+'sv04'!$T$5*($B101)^7+'sv04'!$S$5*($B101)^8</f>
        <v>13269.590550802635</v>
      </c>
      <c r="M101" s="5">
        <f>'sv04'!$AA$6+'sv04'!$Z$6*$B101+'sv04'!$Y$6*$B101^2+'sv04'!$X$6*$B101^3+'sv04'!$W$6*$B101^4+'sv04'!$V$6*$B101^5+'sv04'!$U$6*$B101^6+'sv04'!$T$6*$B101^7+'sv04'!$S$6*$B101^8</f>
        <v>86.601764658546514</v>
      </c>
      <c r="O101">
        <f>SQRT(($J101*1000-coord!$B$2)^2+($K101*1000-coord!$C$2)^2+($L101*1000-coord!$D$2)^2)/coord!$B$6</f>
        <v>7.0721412742382445E-2</v>
      </c>
      <c r="Q101" s="5">
        <f>'sv04'!$AA$3+'sv04'!$Z$3*($B101-$O101/3600)+'sv04'!$Y$3*($B101-$O101/3600)^2+'sv04'!$X$3*($B101-$O101/3600)^3+'sv04'!$W$3*($B101-$O101/3600)^4+'sv04'!$V$3*($B101-$O101/3600)^5+'sv04'!$U$3*($B101-$O101/3600)^6+'sv04'!$T$3*($B101-$O101/3600)^7+'sv04'!$S$3*($B101-$O101/3600)^8+K101*coord!$B$7*O101</f>
        <v>22003.903688085786</v>
      </c>
      <c r="R101" s="5">
        <f>'sv04'!$AA$4+'sv04'!$Z$4*($B101-$O101/3600)+'sv04'!$Y$4*($B101-$O101/3600)^2+'sv04'!$X$4*($B101-$O101/3600)^3+'sv04'!$W$4*($B101-$O101/3600)^4+'sv04'!$V$4*($B101-$O101/3600)^5+'sv04'!$U$4*($B101-$O101/3600)^6+'sv04'!$T$4*($B101-$O101/3600)^7+'sv04'!$S$4*($B101-$O101/3600)^8-J101*coord!$B$7*O101</f>
        <v>-6991.1921615527508</v>
      </c>
      <c r="S101" s="5">
        <f>'sv04'!$AA$5+'sv04'!$Z$5*($B101-$O101/3600)+'sv04'!$Y$5*($B101-$O101/3600)^2+'sv04'!$X$5*($B101-$O101/3600)^3+'sv04'!$W$5*($B101-$O101/3600)^4+'sv04'!$V$5*($B101-$O101/3600)^5+'sv04'!$U$5*($B101-$O101/3600)^6+'sv04'!$T$5*($B101-$O101/3600)^7+'sv04'!$S$5*($B101-$O101/3600)^8</f>
        <v>13269.762842989974</v>
      </c>
      <c r="T101">
        <f>coord!$B$6*M101/10^6</f>
        <v>25962.55589412319</v>
      </c>
      <c r="U101">
        <f>SQRT(($Q101*1000+coord!$B$7*$O101*$R101*1000-coord!$B$2)^2+($R101*1000-coord!$B$7*$O101*$Q101*1000-coord!$C$2)^2+($S101*1000-coord!$D$2)^2)</f>
        <v>21201756.9850448</v>
      </c>
      <c r="V101" s="3">
        <f>$D101-(U101-$T101)-coord!$E$2</f>
        <v>-16.926150679588318</v>
      </c>
      <c r="W101" s="3"/>
      <c r="Y101">
        <f>-(Q101*1000-coord!$B$2)/$U101</f>
        <v>-0.8308285737691925</v>
      </c>
      <c r="Z101">
        <f>-(R101*1000-coord!$C$2)/$U101</f>
        <v>0.37335407534084725</v>
      </c>
      <c r="AA101">
        <f>-(S101*1000-coord!$D$2)/$U101</f>
        <v>-0.41270987941528303</v>
      </c>
      <c r="AB101">
        <v>1</v>
      </c>
      <c r="AD101">
        <v>1</v>
      </c>
      <c r="AE101">
        <v>1</v>
      </c>
      <c r="AF101">
        <v>1</v>
      </c>
      <c r="AG101">
        <v>1</v>
      </c>
      <c r="AH101">
        <v>1</v>
      </c>
      <c r="AI101">
        <v>1</v>
      </c>
      <c r="AJ101">
        <v>1</v>
      </c>
      <c r="AL101">
        <v>-3.2014653720758246</v>
      </c>
      <c r="AM101">
        <v>-0.14822894243479212</v>
      </c>
      <c r="AN101">
        <v>-3.4374808802608756</v>
      </c>
      <c r="AO101">
        <v>7</v>
      </c>
      <c r="AQ101">
        <v>1.9585157777795004</v>
      </c>
      <c r="AR101">
        <v>0.24731877989651718</v>
      </c>
      <c r="AS101">
        <v>1.9921280588371273</v>
      </c>
      <c r="AT101">
        <v>2.0220974796710549</v>
      </c>
      <c r="AV101">
        <v>-42.76523544639349</v>
      </c>
      <c r="AX101">
        <v>8.9727403711681006</v>
      </c>
      <c r="BA101">
        <f>SQRT(($Q101*1000+coord!$B$7*$O101*$R101*1000-coord!$B$2-AX$98)^2+($R101*1000-coord!$B$7*$O101*$Q101*1000-coord!$C$2-AX$99)^2+($S101*1000-coord!$D$2-AX$100)^2)</f>
        <v>21201726.855037581</v>
      </c>
      <c r="BB101" s="3">
        <f t="shared" si="22"/>
        <v>4.2311161678130986</v>
      </c>
      <c r="BD101" s="1"/>
      <c r="BE101" s="1"/>
      <c r="BF101" s="1"/>
      <c r="BX101">
        <v>0</v>
      </c>
      <c r="BY101">
        <v>0</v>
      </c>
      <c r="BZ101">
        <v>0</v>
      </c>
      <c r="CA101">
        <v>1</v>
      </c>
      <c r="CD101" s="1"/>
      <c r="CE101" s="1"/>
      <c r="CF101" s="1"/>
      <c r="CH101">
        <v>1.9585157777795004</v>
      </c>
      <c r="CI101">
        <v>0.24731877989651718</v>
      </c>
      <c r="CJ101">
        <v>1.9921280588371273</v>
      </c>
      <c r="CK101">
        <v>2.0220974796710549</v>
      </c>
      <c r="CM101">
        <v>0</v>
      </c>
      <c r="CN101">
        <v>0</v>
      </c>
      <c r="CO101">
        <v>0</v>
      </c>
      <c r="CP101">
        <v>1</v>
      </c>
      <c r="CR101" s="5">
        <v>-2.6407859003128031E-3</v>
      </c>
      <c r="CS101" s="5">
        <v>-0.16170046652020789</v>
      </c>
      <c r="CT101" s="5">
        <v>2.799887643975004</v>
      </c>
      <c r="CU101" s="5">
        <v>2.0220974796710549</v>
      </c>
    </row>
    <row r="102" spans="1:108">
      <c r="A102">
        <v>28</v>
      </c>
      <c r="B102">
        <f t="shared" si="19"/>
        <v>0.48333333333333334</v>
      </c>
      <c r="C102">
        <v>20</v>
      </c>
      <c r="D102">
        <v>23113104.394000001</v>
      </c>
      <c r="E102">
        <v>121460177.81547999</v>
      </c>
      <c r="F102">
        <v>-3088.819</v>
      </c>
      <c r="G102">
        <v>23113103.456</v>
      </c>
      <c r="H102">
        <v>94644288.427450001</v>
      </c>
      <c r="J102" s="5">
        <f>'sv20'!$AA$3+'sv20'!$Z$3*($B102)+'sv20'!$Y$3*($B102)^2+'sv20'!$X$3*($B102)^3+'sv20'!$W$3*($B102)^4+'sv20'!$V$3*($B102)^5+'sv20'!$U$3*($B102)^6+'sv20'!$T$3*($B102)^7+'sv20'!$S$3*($B102)^8</f>
        <v>14179.222358178056</v>
      </c>
      <c r="K102" s="5">
        <f>'sv20'!$AA$4+'sv20'!$Z$4*($B102)+'sv20'!$Y$4*($B102)^2+'sv20'!$X$4*($B102)^3+'sv20'!$W$4*($B102)^4+'sv20'!$V$4*($B102)^5+'sv20'!$U$4*($B102)^6+'sv20'!$T$4*($B102)^7+'sv20'!$S$4*($B102)^8</f>
        <v>21872.234392237631</v>
      </c>
      <c r="L102" s="5">
        <f>'sv20'!$AA$5+'sv20'!$Z$5*($B102)+'sv20'!$Y$5*($B102)^2+'sv20'!$X$5*($B102)^3+'sv20'!$W$5*($B102)^4+'sv20'!$V$5*($B102)^5+'sv20'!$U$5*($B102)^6+'sv20'!$T$5*($B102)^7+'sv20'!$S$5*($B102)^8</f>
        <v>5099.2014256522443</v>
      </c>
      <c r="M102" s="5">
        <f>'sv20'!$AA$6+'sv20'!$Z$6*$B102+'sv20'!$Y$6*$B102^2+'sv20'!$X$6*$B102^3+'sv20'!$W$6*$B102^4+'sv20'!$V$6*$B102^5+'sv20'!$U$6*$B102^6+'sv20'!$T$6*$B102^7+'sv20'!$S$6*$B102^8</f>
        <v>55.817747696630427</v>
      </c>
      <c r="O102">
        <f>SQRT(($J102*1000-coord!$B$2)^2+($K102*1000-coord!$C$2)^2+($L102*1000-coord!$D$2)^2)/coord!$B$6</f>
        <v>7.7152980455403461E-2</v>
      </c>
      <c r="Q102" s="5">
        <f>'sv20'!$AA$3+'sv20'!$Z$3*($B102-$O102/3600)+'sv20'!$Y$3*($B102-$O102/3600)^2+'sv20'!$X$3*($B102-$O102/3600)^3+'sv20'!$W$3*($B102-$O102/3600)^4+'sv20'!$V$3*($B102-$O102/3600)^5+'sv20'!$U$3*($B102-$O102/3600)^6+'sv20'!$T$3*($B102-$O102/3600)^7+'sv20'!$S$3*($B102-$O102/3600)^8+K102*coord!$B$7*O102</f>
        <v>14179.347988360096</v>
      </c>
      <c r="R102" s="5">
        <f>'sv20'!$AA$4+'sv20'!$Z$4*($B102-$O102/3600)+'sv20'!$Y$4*($B102-$O102/3600)^2+'sv20'!$X$4*($B102-$O102/3600)^3+'sv20'!$W$4*($B102-$O102/3600)^4+'sv20'!$V$4*($B102-$O102/3600)^5+'sv20'!$U$4*($B102-$O102/3600)^6+'sv20'!$T$4*($B102-$O102/3600)^7+'sv20'!$S$4*($B102-$O102/3600)^8-J102*coord!$B$7*O102</f>
        <v>21872.096899019427</v>
      </c>
      <c r="S102" s="5">
        <f>'sv20'!$AA$5+'sv20'!$Z$5*($B102-$O102/3600)+'sv20'!$Y$5*($B102-$O102/3600)^2+'sv20'!$X$5*($B102-$O102/3600)^3+'sv20'!$W$5*($B102-$O102/3600)^4+'sv20'!$V$5*($B102-$O102/3600)^5+'sv20'!$U$5*($B102-$O102/3600)^6+'sv20'!$T$5*($B102-$O102/3600)^7+'sv20'!$S$5*($B102-$O102/3600)^8</f>
        <v>5099.4351961526281</v>
      </c>
      <c r="T102">
        <f>coord!$B$6*M102/10^6</f>
        <v>16733.739781996672</v>
      </c>
      <c r="U102">
        <f>SQRT(($Q102*1000+coord!$B$7*$O102*$R102*1000-coord!$B$2)^2+($R102*1000-coord!$B$7*$O102*$Q102*1000-coord!$C$2)^2+($S102*1000-coord!$D$2)^2)</f>
        <v>23129796.007517517</v>
      </c>
      <c r="V102" s="3">
        <f>$D102-(U102-$T102)-coord!$E$2</f>
        <v>42.126264482736588</v>
      </c>
      <c r="W102" s="3"/>
      <c r="Y102">
        <f>-(Q102*1000-coord!$B$2)/$U102</f>
        <v>-0.42328388085991125</v>
      </c>
      <c r="Z102">
        <f>-(R102*1000-coord!$C$2)/$U102</f>
        <v>-0.90565116436872939</v>
      </c>
      <c r="AA102">
        <f>-(S102*1000-coord!$D$2)/$U102</f>
        <v>-2.5069262247888833E-2</v>
      </c>
      <c r="AB102">
        <v>1</v>
      </c>
      <c r="BA102">
        <f>SQRT(($Q102*1000+coord!$B$7*$O102*$R102*1000-coord!$B$2-AX$98)^2+($R102*1000-coord!$B$7*$O102*$Q102*1000-coord!$C$2-AX$99)^2+($S102*1000-coord!$D$2-AX$100)^2)</f>
        <v>23129825.518950138</v>
      </c>
      <c r="BB102" s="3">
        <f t="shared" si="22"/>
        <v>3.6420914899404409</v>
      </c>
      <c r="BD102" s="1"/>
      <c r="BE102" s="1"/>
      <c r="BF102" s="1"/>
      <c r="CD102" s="1"/>
      <c r="CE102" s="1"/>
      <c r="CF102" s="1"/>
    </row>
    <row r="103" spans="1:108">
      <c r="A103">
        <v>28</v>
      </c>
      <c r="B103">
        <f t="shared" si="19"/>
        <v>0.48333333333333334</v>
      </c>
      <c r="C103">
        <v>13</v>
      </c>
      <c r="D103">
        <v>20151999.743000001</v>
      </c>
      <c r="E103">
        <v>105899472.41349</v>
      </c>
      <c r="F103">
        <v>-735.99900000000002</v>
      </c>
      <c r="G103">
        <v>20151997.969999999</v>
      </c>
      <c r="H103">
        <v>82519061.39948</v>
      </c>
      <c r="J103" s="5">
        <f>'sv13'!$AA$3+'sv13'!$Z$3*($B103)+'sv13'!$Y$3*($B103)^2+'sv13'!$X$3*($B103)^3+'sv13'!$W$3*($B103)^4+'sv13'!$V$3*($B103)^5+'sv13'!$U$3*($B103)^6+'sv13'!$T$3*($B103)^7+'sv13'!$S$3*($B103)^8</f>
        <v>14170.659538629641</v>
      </c>
      <c r="K103" s="5">
        <f>'sv13'!$AA$4+'sv13'!$Z$4*($B103)+'sv13'!$Y$4*($B103)^2+'sv13'!$X$4*($B103)^3+'sv13'!$W$4*($B103)^4+'sv13'!$V$4*($B103)^5+'sv13'!$U$4*($B103)^6+'sv13'!$T$4*($B103)^7+'sv13'!$S$4*($B103)^8</f>
        <v>5284.6626011199714</v>
      </c>
      <c r="L103" s="5">
        <f>'sv13'!$AA$5+'sv13'!$Z$5*($B103)+'sv13'!$Y$5*($B103)^2+'sv13'!$X$5*($B103)^3+'sv13'!$W$5*($B103)^4+'sv13'!$V$5*($B103)^5+'sv13'!$U$5*($B103)^6+'sv13'!$T$5*($B103)^7+'sv13'!$S$5*($B103)^8</f>
        <v>21697.900382598313</v>
      </c>
      <c r="M103" s="5">
        <f>'sv13'!$AA$6+'sv13'!$Z$6*$B103+'sv13'!$Y$6*$B103^2+'sv13'!$X$6*$B103^3+'sv13'!$W$6*$B103^4+'sv13'!$V$6*$B103^5+'sv13'!$U$6*$B103^6+'sv13'!$T$6*$B103^7+'sv13'!$S$6*$B103^8</f>
        <v>304.21943197908587</v>
      </c>
      <c r="O103">
        <f>SQRT(($J103*1000-coord!$B$2)^2+($K103*1000-coord!$C$2)^2+($L103*1000-coord!$D$2)^2)/coord!$B$6</f>
        <v>6.7524122141192272E-2</v>
      </c>
      <c r="Q103" s="5">
        <f>'sv13'!$AA$3+'sv13'!$Z$3*($B103-$O103/3600)+'sv13'!$Y$3*($B103-$O103/3600)^2+'sv13'!$X$3*($B103-$O103/3600)^3+'sv13'!$W$3*($B103-$O103/3600)^4+'sv13'!$V$3*($B103-$O103/3600)^5+'sv13'!$U$3*($B103-$O103/3600)^6+'sv13'!$T$3*($B103-$O103/3600)^7+'sv13'!$S$3*($B103-$O103/3600)^8+K103*coord!$B$7*O103</f>
        <v>14170.806976199328</v>
      </c>
      <c r="R103" s="5">
        <f>'sv13'!$AA$4+'sv13'!$Z$4*($B103-$O103/3600)+'sv13'!$Y$4*($B103-$O103/3600)^2+'sv13'!$X$4*($B103-$O103/3600)^3+'sv13'!$W$4*($B103-$O103/3600)^4+'sv13'!$V$4*($B103-$O103/3600)^5+'sv13'!$U$4*($B103-$O103/3600)^6+'sv13'!$T$4*($B103-$O103/3600)^7+'sv13'!$S$4*($B103-$O103/3600)^8-J103*coord!$B$7*O103</f>
        <v>5284.4496882559733</v>
      </c>
      <c r="S103" s="5">
        <f>'sv13'!$AA$5+'sv13'!$Z$5*($B103-$O103/3600)+'sv13'!$Y$5*($B103-$O103/3600)^2+'sv13'!$X$5*($B103-$O103/3600)^3+'sv13'!$W$5*($B103-$O103/3600)^4+'sv13'!$V$5*($B103-$O103/3600)^5+'sv13'!$U$5*($B103-$O103/3600)^6+'sv13'!$T$5*($B103-$O103/3600)^7+'sv13'!$S$5*($B103-$O103/3600)^8</f>
        <v>21697.856435923753</v>
      </c>
      <c r="T103">
        <f>coord!$B$6*M103/10^6</f>
        <v>91202.691284373956</v>
      </c>
      <c r="U103">
        <f>SQRT(($Q103*1000+coord!$B$7*$O103*$R103*1000-coord!$B$2)^2+($R103*1000-coord!$B$7*$O103*$Q103*1000-coord!$C$2)^2+($S103*1000-coord!$D$2)^2)</f>
        <v>20243208.190778766</v>
      </c>
      <c r="V103" s="3">
        <f>$D103-(U103-$T103)-coord!$E$2</f>
        <v>-5.7564943917095661</v>
      </c>
      <c r="W103" s="3"/>
      <c r="Y103">
        <f>-(Q103*1000-coord!$B$2)/$U103</f>
        <v>-0.48322028372238029</v>
      </c>
      <c r="Z103">
        <f>-(R103*1000-coord!$C$2)/$U103</f>
        <v>-0.21537492644283507</v>
      </c>
      <c r="AA103">
        <f>-(S103*1000-coord!$D$2)/$U103</f>
        <v>-0.84859415561654106</v>
      </c>
      <c r="AB103">
        <v>1</v>
      </c>
      <c r="BA103">
        <f>SQRT(($Q103*1000+coord!$B$7*$O103*$R103*1000-coord!$B$2-AX$98)^2+($R103*1000-coord!$B$7*$O103*$Q103*1000-coord!$C$2-AX$99)^2+($S103*1000-coord!$D$2-AX$100)^2)</f>
        <v>20243190.831301857</v>
      </c>
      <c r="BB103" s="3">
        <f t="shared" si="22"/>
        <v>2.630242146163738</v>
      </c>
      <c r="BD103" s="1"/>
      <c r="BE103" s="1"/>
      <c r="BF103" s="1"/>
      <c r="CD103" s="1"/>
      <c r="CE103" s="1"/>
      <c r="CF103" s="1"/>
    </row>
    <row r="104" spans="1:108">
      <c r="A104">
        <v>28</v>
      </c>
      <c r="B104">
        <f t="shared" si="19"/>
        <v>0.48333333333333334</v>
      </c>
      <c r="C104">
        <v>7</v>
      </c>
      <c r="D104">
        <v>21764082.629999999</v>
      </c>
      <c r="E104">
        <v>114371031.31949</v>
      </c>
      <c r="F104">
        <v>2815.1950000000002</v>
      </c>
      <c r="G104">
        <v>21764081.598000001</v>
      </c>
      <c r="H104">
        <v>89120284.804480001</v>
      </c>
      <c r="J104" s="5">
        <f>'sv07'!$AA$3+'sv07'!$Z$3*($B104)+'sv07'!$Y$3*($B104)^2+'sv07'!$X$3*($B104)^3+'sv07'!$W$3*($B104)^4+'sv07'!$V$3*($B104)^5+'sv07'!$U$3*($B104)^6+'sv07'!$T$3*($B104)^7+'sv07'!$S$3*($B104)^8</f>
        <v>25440.277454772826</v>
      </c>
      <c r="K104" s="5">
        <f>'sv07'!$AA$4+'sv07'!$Z$4*($B104)+'sv07'!$Y$4*($B104)^2+'sv07'!$X$4*($B104)^3+'sv07'!$W$4*($B104)^4+'sv07'!$V$4*($B104)^5+'sv07'!$U$4*($B104)^6+'sv07'!$T$4*($B104)^7+'sv07'!$S$4*($B104)^8</f>
        <v>6446.5334091959321</v>
      </c>
      <c r="L104" s="5">
        <f>'sv07'!$AA$5+'sv07'!$Z$5*($B104)+'sv07'!$Y$5*($B104)^2+'sv07'!$X$5*($B104)^3+'sv07'!$W$5*($B104)^4+'sv07'!$V$5*($B104)^5+'sv07'!$U$5*($B104)^6+'sv07'!$T$5*($B104)^7+'sv07'!$S$5*($B104)^8</f>
        <v>4627.4965253452792</v>
      </c>
      <c r="M104" s="5">
        <f>'sv07'!$AA$6+'sv07'!$Z$6*$B104+'sv07'!$Y$6*$B104^2+'sv07'!$X$6*$B104^3+'sv07'!$W$6*$B104^4+'sv07'!$V$6*$B104^5+'sv07'!$U$6*$B104^6+'sv07'!$T$6*$B104^7+'sv07'!$S$6*$B104^8</f>
        <v>-0.63785482908386593</v>
      </c>
      <c r="O104">
        <f>SQRT(($J104*1000-coord!$B$2)^2+($K104*1000-coord!$C$2)^2+($L104*1000-coord!$D$2)^2)/coord!$B$6</f>
        <v>7.2596386782398506E-2</v>
      </c>
      <c r="Q104" s="5">
        <f>'sv07'!$AA$3+'sv07'!$Z$3*($B104-$O104/3600)+'sv07'!$Y$3*($B104-$O104/3600)^2+'sv07'!$X$3*($B104-$O104/3600)^3+'sv07'!$W$3*($B104-$O104/3600)^4+'sv07'!$V$3*($B104-$O104/3600)^5+'sv07'!$U$3*($B104-$O104/3600)^6+'sv07'!$T$3*($B104-$O104/3600)^7+'sv07'!$S$3*($B104-$O104/3600)^8+K104*coord!$B$7*O104</f>
        <v>25440.355853230285</v>
      </c>
      <c r="R104" s="5">
        <f>'sv07'!$AA$4+'sv07'!$Z$4*($B104-$O104/3600)+'sv07'!$Y$4*($B104-$O104/3600)^2+'sv07'!$X$4*($B104-$O104/3600)^3+'sv07'!$W$4*($B104-$O104/3600)^4+'sv07'!$V$4*($B104-$O104/3600)^5+'sv07'!$U$4*($B104-$O104/3600)^6+'sv07'!$T$4*($B104-$O104/3600)^7+'sv07'!$S$4*($B104-$O104/3600)^8-J104*coord!$B$7*O104</f>
        <v>6446.387711580408</v>
      </c>
      <c r="S104" s="5">
        <f>'sv07'!$AA$5+'sv07'!$Z$5*($B104-$O104/3600)+'sv07'!$Y$5*($B104-$O104/3600)^2+'sv07'!$X$5*($B104-$O104/3600)^3+'sv07'!$W$5*($B104-$O104/3600)^4+'sv07'!$V$5*($B104-$O104/3600)^5+'sv07'!$U$5*($B104-$O104/3600)^6+'sv07'!$T$5*($B104-$O104/3600)^7+'sv07'!$S$5*($B104-$O104/3600)^8</f>
        <v>4627.2702592387686</v>
      </c>
      <c r="T104">
        <f>coord!$B$6*M104/10^6</f>
        <v>-191.22406705822206</v>
      </c>
      <c r="U104">
        <f>SQRT(($Q104*1000+coord!$B$7*$O104*$R104*1000-coord!$B$2)^2+($R104*1000-coord!$B$7*$O104*$Q104*1000-coord!$C$2)^2+($S104*1000-coord!$D$2)^2)</f>
        <v>21763885.820660528</v>
      </c>
      <c r="V104" s="3">
        <f>$D104-(U104-$T104)-coord!$E$2</f>
        <v>5.5852724127471447</v>
      </c>
      <c r="W104" s="3" t="s">
        <v>127</v>
      </c>
      <c r="X104" s="1" t="s">
        <v>128</v>
      </c>
      <c r="Y104">
        <f>-(Q104*1000-coord!$B$2)/$U104</f>
        <v>-0.96726650083993959</v>
      </c>
      <c r="Z104">
        <f>-(R104*1000-coord!$C$2)/$U104</f>
        <v>-0.2537146878954184</v>
      </c>
      <c r="AA104">
        <f>-(S104*1000-coord!$D$2)/$U104</f>
        <v>-4.947737082710929E-3</v>
      </c>
      <c r="AB104">
        <v>1</v>
      </c>
      <c r="BA104">
        <f>SQRT(($Q104*1000+coord!$B$7*$O104*$R104*1000-coord!$B$2-AX$98)^2+($R104*1000-coord!$B$7*$O104*$Q104*1000-coord!$C$2-AX$99)^2+($S104*1000-coord!$D$2-AX$100)^2)</f>
        <v>21763888.167158123</v>
      </c>
      <c r="BB104" s="3">
        <f t="shared" si="22"/>
        <v>-5.7339655537311671</v>
      </c>
      <c r="BC104" s="3" t="s">
        <v>127</v>
      </c>
      <c r="BD104" s="1" t="s">
        <v>128</v>
      </c>
      <c r="BE104" s="1"/>
      <c r="BF104" s="1"/>
      <c r="CD104" s="1"/>
      <c r="CE104" s="1"/>
      <c r="CF104" s="1"/>
    </row>
    <row r="105" spans="1:108">
      <c r="V105" s="3"/>
      <c r="W105" s="3">
        <f>AVERAGE($V98:$V104)</f>
        <v>-6.1093193494847844</v>
      </c>
      <c r="X105" s="1">
        <f>SQRT(DEVSQ($V98:$V104)/6)</f>
        <v>27.820968448987923</v>
      </c>
      <c r="BB105" s="3"/>
      <c r="BC105" s="3">
        <f>AVERAGE($BB98:$BB104)</f>
        <v>1.0178518676947792E-4</v>
      </c>
      <c r="BD105" s="1">
        <f>SQRT(DEVSQ($BB98:$BB104)/6)</f>
        <v>4.9067466537211617</v>
      </c>
      <c r="BE105" s="1"/>
      <c r="BF105" s="1"/>
      <c r="CD105" s="1"/>
      <c r="CE105" s="1"/>
      <c r="CF105" s="1"/>
    </row>
    <row r="106" spans="1:108">
      <c r="A106">
        <v>30</v>
      </c>
      <c r="B106">
        <f t="shared" si="19"/>
        <v>0.5</v>
      </c>
      <c r="C106">
        <v>2</v>
      </c>
      <c r="D106">
        <v>22523634.405999999</v>
      </c>
      <c r="E106">
        <v>118362505.09148</v>
      </c>
      <c r="F106">
        <v>2155.7809999999999</v>
      </c>
      <c r="G106">
        <v>22523632.228999998</v>
      </c>
      <c r="H106">
        <v>92230512.857470006</v>
      </c>
      <c r="J106" s="5">
        <f>'sv02'!$AA$3+'sv02'!$Z$3*($B106)+'sv02'!$Y$3*($B106)^2+'sv02'!$X$3*($B106)^3+'sv02'!$W$3*($B106)^4+'sv02'!$V$3*($B106)^5+'sv02'!$U$3*($B106)^6+'sv02'!$T$3*($B106)^7+'sv02'!$S$3*($B106)^8</f>
        <v>7965.028253674328</v>
      </c>
      <c r="K106" s="5">
        <f>'sv02'!$AA$4+'sv02'!$Z$4*($B106)+'sv02'!$Y$4*($B106)^2+'sv02'!$X$4*($B106)^3+'sv02'!$W$4*($B106)^4+'sv02'!$V$4*($B106)^5+'sv02'!$U$4*($B106)^6+'sv02'!$T$4*($B106)^7+'sv02'!$S$4*($B106)^8</f>
        <v>-14399.162238614024</v>
      </c>
      <c r="L106" s="5">
        <f>'sv02'!$AA$5+'sv02'!$Z$5*($B106)+'sv02'!$Y$5*($B106)^2+'sv02'!$X$5*($B106)^3+'sv02'!$W$5*($B106)^4+'sv02'!$V$5*($B106)^5+'sv02'!$U$5*($B106)^6+'sv02'!$T$5*($B106)^7+'sv02'!$S$5*($B106)^8</f>
        <v>20742.805354752029</v>
      </c>
      <c r="M106" s="5">
        <f>'sv02'!$AA$6+'sv02'!$Z$6*$B106+'sv02'!$Y$6*$B106^2+'sv02'!$X$6*$B106^3+'sv02'!$W$6*$B106^4+'sv02'!$V$6*$B106^5+'sv02'!$U$6*$B106^6+'sv02'!$T$6*$B106^7+'sv02'!$S$6*$B106^8</f>
        <v>257.59269224139945</v>
      </c>
      <c r="O106">
        <f>SQRT(($J106*1000-coord!$B$2)^2+($K106*1000-coord!$C$2)^2+($L106*1000-coord!$D$2)^2)/coord!$B$6</f>
        <v>7.5388319140873766E-2</v>
      </c>
      <c r="Q106" s="5">
        <f>'sv02'!$AA$3+'sv02'!$Z$3*($B106-$O106/3600)+'sv02'!$Y$3*($B106-$O106/3600)^2+'sv02'!$X$3*($B106-$O106/3600)^3+'sv02'!$W$3*($B106-$O106/3600)^4+'sv02'!$V$3*($B106-$O106/3600)^5+'sv02'!$U$3*($B106-$O106/3600)^6+'sv02'!$T$3*($B106-$O106/3600)^7+'sv02'!$S$3*($B106-$O106/3600)^8+K106*coord!$B$7*O106</f>
        <v>7964.7507618699292</v>
      </c>
      <c r="R106" s="5">
        <f>'sv02'!$AA$4+'sv02'!$Z$4*($B106-$O106/3600)+'sv02'!$Y$4*($B106-$O106/3600)^2+'sv02'!$X$4*($B106-$O106/3600)^3+'sv02'!$W$4*($B106-$O106/3600)^4+'sv02'!$V$4*($B106-$O106/3600)^5+'sv02'!$U$4*($B106-$O106/3600)^6+'sv02'!$T$4*($B106-$O106/3600)^7+'sv02'!$S$4*($B106-$O106/3600)^8-J106*coord!$B$7*O106</f>
        <v>-14399.234912157428</v>
      </c>
      <c r="S106" s="5">
        <f>'sv02'!$AA$5+'sv02'!$Z$5*($B106-$O106/3600)+'sv02'!$Y$5*($B106-$O106/3600)^2+'sv02'!$X$5*($B106-$O106/3600)^3+'sv02'!$W$5*($B106-$O106/3600)^4+'sv02'!$V$5*($B106-$O106/3600)^5+'sv02'!$U$5*($B106-$O106/3600)^6+'sv02'!$T$5*($B106-$O106/3600)^7+'sv02'!$S$5*($B106-$O106/3600)^8</f>
        <v>20742.864835945773</v>
      </c>
      <c r="T106">
        <f>coord!$B$6*M106/10^6</f>
        <v>77224.346369886669</v>
      </c>
      <c r="U106">
        <f>SQRT(($Q106*1000+coord!$B$7*$O106*$R106*1000-coord!$B$2)^2+($R106*1000-coord!$B$7*$O106*$Q106*1000-coord!$C$2)^2+($S106*1000-coord!$D$2)^2)</f>
        <v>22600914.727282356</v>
      </c>
      <c r="V106" s="3">
        <f>$D106-(U106-$T106)-coord!$E$2</f>
        <v>-55.974912472069263</v>
      </c>
      <c r="W106" s="3"/>
      <c r="Y106">
        <f>-(Q106*1000-coord!$B$2)/$U106</f>
        <v>-0.15821804711087056</v>
      </c>
      <c r="Z106">
        <f>-(R106*1000-coord!$C$2)/$U106</f>
        <v>0.67801703206549968</v>
      </c>
      <c r="AA106">
        <f>-(S106*1000-coord!$D$2)/$U106</f>
        <v>-0.71781504232933047</v>
      </c>
      <c r="AB106">
        <v>1</v>
      </c>
      <c r="AD106">
        <f t="array" ref="AD106:AJ109">TRANSPOSE(Y106:AB112)</f>
        <v>-0.15821804711087056</v>
      </c>
      <c r="AE106">
        <v>-0.18089911441914772</v>
      </c>
      <c r="AF106">
        <v>-0.16293900032795722</v>
      </c>
      <c r="AG106">
        <v>-0.83502199458649062</v>
      </c>
      <c r="AH106">
        <v>-0.42254283381830265</v>
      </c>
      <c r="AI106">
        <v>-0.47769629104466055</v>
      </c>
      <c r="AJ106">
        <v>-0.96697613334770982</v>
      </c>
      <c r="AL106">
        <f t="array" ref="AL106:AO109">MMULT(AD106:AJ109,Y106:AB112)</f>
        <v>2.1233473246533996</v>
      </c>
      <c r="AM106">
        <v>0.30077679910635324</v>
      </c>
      <c r="AN106">
        <v>1.1257265278891531</v>
      </c>
      <c r="AO106">
        <v>-3.2042934146551394</v>
      </c>
      <c r="AQ106">
        <f t="array" ref="AQ106:AT109">MINVERSE(AL106:AO109)</f>
        <v>2.577525285426594</v>
      </c>
      <c r="AR106">
        <v>0.11290623614978808</v>
      </c>
      <c r="AS106">
        <v>1.6092775589580464</v>
      </c>
      <c r="AT106">
        <v>1.9719003900524918</v>
      </c>
      <c r="AV106">
        <f t="array" ref="AV106:AV109">MMULT(AD106:AJ109,V106:V112)</f>
        <v>5.4354281520859224</v>
      </c>
      <c r="AX106">
        <f t="array" ref="AX106:AX109">MMULT(AQ106:AT109,AV106:AV109)</f>
        <v>9.1635160419863695</v>
      </c>
      <c r="BA106">
        <f>SQRT(($Q106*1000+coord!$B$7*$O106*$R106*1000-coord!$B$2-AX$106)^2+($R106*1000-coord!$B$7*$O106*$Q106*1000-coord!$C$2-AX$107)^2+($S106*1000-coord!$D$2-AX$108)^2)</f>
        <v>22600856.712223366</v>
      </c>
      <c r="BB106" s="3">
        <f>$D106-(BA106-$T106)-AX$109</f>
        <v>-6.7857243622482315</v>
      </c>
      <c r="BD106" s="1">
        <f>coord!$B$2+$AX106</f>
        <v>4388887.3343160423</v>
      </c>
      <c r="BE106" s="1">
        <f>coord!$C$2+$AX107</f>
        <v>924515.6342504709</v>
      </c>
      <c r="BF106" s="1">
        <f>coord!$D$2+$AX108</f>
        <v>4519615.5232470576</v>
      </c>
      <c r="BG106" s="1">
        <f>coord!$E$2+$AX109</f>
        <v>8.8258708807468906</v>
      </c>
      <c r="BH106" s="8">
        <f>lat($BD106,$BE106,$BF106)</f>
        <v>45.411358024586171</v>
      </c>
      <c r="BI106" s="8">
        <f>lon($BD106,$BE106,$BF106)</f>
        <v>11.895400162525373</v>
      </c>
      <c r="BJ106" s="6">
        <f>h($BD106,$BE106,$BF106)</f>
        <v>79.923697771504521</v>
      </c>
      <c r="BL106">
        <f>grado($BH106)</f>
        <v>45</v>
      </c>
      <c r="BM106">
        <f>MINUTOprimo($BH106)</f>
        <v>24</v>
      </c>
      <c r="BN106">
        <f>MINUTOsecondo($BH106)</f>
        <v>40.888888510216361</v>
      </c>
      <c r="BO106">
        <f>grado($BI106)</f>
        <v>11</v>
      </c>
      <c r="BP106">
        <f>MINUTOprimo($BI106)</f>
        <v>53</v>
      </c>
      <c r="BQ106">
        <f>MINUTOsecondo($BI106)</f>
        <v>43.44058509134328</v>
      </c>
      <c r="BS106">
        <f>-SIN(RADIANS(BH106))*COS(RADIANS(BI106))</f>
        <v>-0.69687185716269529</v>
      </c>
      <c r="BT106">
        <f>-SIN(RADIANS(BI106))</f>
        <v>-0.20612562777150503</v>
      </c>
      <c r="BU106">
        <f>COS(RADIANS(BH106))*COS(RADIANS(BI106))</f>
        <v>0.68693656204224485</v>
      </c>
      <c r="BW106" t="s">
        <v>93</v>
      </c>
      <c r="BX106">
        <f t="array" ref="BX106:BZ108">MINVERSE(BS106:BU108)</f>
        <v>-0.69687185716269529</v>
      </c>
      <c r="BY106">
        <v>-0.1467955037210886</v>
      </c>
      <c r="BZ106">
        <v>0.70201189076958515</v>
      </c>
      <c r="CA106">
        <v>0</v>
      </c>
      <c r="CB106" s="1">
        <f t="array" ref="CB106:CB108">MMULT(BX106:BZ108,AX106:AX108)</f>
        <v>20.755232791675834</v>
      </c>
      <c r="CD106" s="1">
        <f t="array" ref="CD106:CF106">TRANSPOSE(CB106:CB108)</f>
        <v>20.755232791675834</v>
      </c>
      <c r="CE106" s="1">
        <v>-55.295731366154499</v>
      </c>
      <c r="CF106" s="1">
        <v>17.802788493416088</v>
      </c>
      <c r="CH106">
        <f t="array" ref="CH106:CK109">MMULT(BX106:CA109,AQ106:AT109)</f>
        <v>-0.68304697841069539</v>
      </c>
      <c r="CI106">
        <v>0.1388128549635893</v>
      </c>
      <c r="CJ106">
        <v>0.62681798617755535</v>
      </c>
      <c r="CK106">
        <v>-1.9026958147672079E-3</v>
      </c>
      <c r="CM106">
        <f t="array" ref="CM106:CP109">TRANSPOSE(BX106:CA109)</f>
        <v>-0.69687185716269529</v>
      </c>
      <c r="CN106">
        <v>-0.206125627771505</v>
      </c>
      <c r="CO106">
        <v>0.68693656204224485</v>
      </c>
      <c r="CP106">
        <v>0</v>
      </c>
      <c r="CR106" s="5">
        <f t="array" ref="CR106:CU109">MMULT(CH106:CK109,CM106:CP109)</f>
        <v>0.89565279305197554</v>
      </c>
      <c r="CS106" s="5">
        <v>0.27662541059819412</v>
      </c>
      <c r="CT106" s="5">
        <v>-2.7253851810433716E-3</v>
      </c>
      <c r="CU106" s="5">
        <v>-1.9026958147672079E-3</v>
      </c>
      <c r="CW106" s="3">
        <f>SQRT(CR106+CS107)</f>
        <v>1.1951311379748302</v>
      </c>
      <c r="CX106" s="3">
        <f>CT108</f>
        <v>4.2152754749687018</v>
      </c>
      <c r="CY106" s="3">
        <f>CU109</f>
        <v>2.0378716821675131</v>
      </c>
      <c r="CZ106" s="3">
        <f>BD113</f>
        <v>4.9841535372186136</v>
      </c>
      <c r="DA106">
        <v>6</v>
      </c>
      <c r="DB106" s="6">
        <f>CY106*DA106*CZ106</f>
        <v>60.942392118437148</v>
      </c>
      <c r="DC106">
        <v>5.33</v>
      </c>
      <c r="DD106" s="6">
        <f>CZ106*DC106*SQRT(0.5*(CR106+CS107)+SQRT((0.5*(CR106-CS107))^2+CS106^2))</f>
        <v>27.156860503529721</v>
      </c>
    </row>
    <row r="107" spans="1:108">
      <c r="A107">
        <v>30</v>
      </c>
      <c r="B107">
        <f t="shared" si="19"/>
        <v>0.5</v>
      </c>
      <c r="C107">
        <v>23</v>
      </c>
      <c r="D107">
        <v>21171101.02</v>
      </c>
      <c r="E107">
        <v>111254882.67648999</v>
      </c>
      <c r="F107">
        <v>-1989.605</v>
      </c>
      <c r="G107">
        <v>21171097.425999999</v>
      </c>
      <c r="H107">
        <v>86692102.592470005</v>
      </c>
      <c r="J107" s="5">
        <f>'sv23'!$AA$3+'sv23'!$Z$3*($B107)+'sv23'!$Y$3*($B107)^2+'sv23'!$X$3*($B107)^3+'sv23'!$W$3*($B107)^4+'sv23'!$V$3*($B107)^5+'sv23'!$U$3*($B107)^6+'sv23'!$T$3*($B107)^7+'sv23'!$S$3*($B107)^8</f>
        <v>8238.587502726743</v>
      </c>
      <c r="K107" s="5">
        <f>'sv23'!$AA$4+'sv23'!$Z$4*($B107)+'sv23'!$Y$4*($B107)^2+'sv23'!$X$4*($B107)^3+'sv23'!$W$4*($B107)^4+'sv23'!$V$4*($B107)^5+'sv23'!$U$4*($B107)^6+'sv23'!$T$4*($B107)^7+'sv23'!$S$4*($B107)^8</f>
        <v>13405.973873351439</v>
      </c>
      <c r="L107" s="5">
        <f>'sv23'!$AA$5+'sv23'!$Z$5*($B107)+'sv23'!$Y$5*($B107)^2+'sv23'!$X$5*($B107)^3+'sv23'!$W$5*($B107)^4+'sv23'!$V$5*($B107)^5+'sv23'!$U$5*($B107)^6+'sv23'!$T$5*($B107)^7+'sv23'!$S$5*($B107)^8</f>
        <v>21322.003284301722</v>
      </c>
      <c r="M107" s="5">
        <f>'sv23'!$AA$6+'sv23'!$Z$6*$B107+'sv23'!$Y$6*$B107^2+'sv23'!$X$6*$B107^3+'sv23'!$W$6*$B107^4+'sv23'!$V$6*$B107^5+'sv23'!$U$6*$B107^6+'sv23'!$T$6*$B107^7+'sv23'!$S$6*$B107^8</f>
        <v>370.05634449228177</v>
      </c>
      <c r="O107">
        <f>SQRT(($J107*1000-coord!$B$2)^2+($K107*1000-coord!$C$2)^2+($L107*1000-coord!$D$2)^2)/coord!$B$6</f>
        <v>7.0989371346243391E-2</v>
      </c>
      <c r="Q107" s="5">
        <f>'sv23'!$AA$3+'sv23'!$Z$3*($B107-$O107/3600)+'sv23'!$Y$3*($B107-$O107/3600)^2+'sv23'!$X$3*($B107-$O107/3600)^3+'sv23'!$W$3*($B107-$O107/3600)^4+'sv23'!$V$3*($B107-$O107/3600)^5+'sv23'!$U$3*($B107-$O107/3600)^6+'sv23'!$T$3*($B107-$O107/3600)^7+'sv23'!$S$3*($B107-$O107/3600)^8+K107*coord!$B$7*O107</f>
        <v>8238.7778881780232</v>
      </c>
      <c r="R107" s="5">
        <f>'sv23'!$AA$4+'sv23'!$Z$4*($B107-$O107/3600)+'sv23'!$Y$4*($B107-$O107/3600)^2+'sv23'!$X$4*($B107-$O107/3600)^3+'sv23'!$W$4*($B107-$O107/3600)^4+'sv23'!$V$4*($B107-$O107/3600)^5+'sv23'!$U$4*($B107-$O107/3600)^6+'sv23'!$T$4*($B107-$O107/3600)^7+'sv23'!$S$4*($B107-$O107/3600)^8-J107*coord!$B$7*O107</f>
        <v>13405.780907873044</v>
      </c>
      <c r="S107" s="5">
        <f>'sv23'!$AA$5+'sv23'!$Z$5*($B107-$O107/3600)+'sv23'!$Y$5*($B107-$O107/3600)^2+'sv23'!$X$5*($B107-$O107/3600)^3+'sv23'!$W$5*($B107-$O107/3600)^4+'sv23'!$V$5*($B107-$O107/3600)^5+'sv23'!$U$5*($B107-$O107/3600)^6+'sv23'!$T$5*($B107-$O107/3600)^7+'sv23'!$S$5*($B107-$O107/3600)^8</f>
        <v>21322.053183940934</v>
      </c>
      <c r="T107">
        <f>coord!$B$6*M107/10^6</f>
        <v>110940.1011138359</v>
      </c>
      <c r="U107">
        <f>SQRT(($Q107*1000+coord!$B$7*$O107*$R107*1000-coord!$B$2)^2+($R107*1000-coord!$B$7*$O107*$Q107*1000-coord!$C$2)^2+($S107*1000-coord!$D$2)^2)</f>
        <v>21282026.336832751</v>
      </c>
      <c r="V107" s="3">
        <f>$D107-(U107-$T107)-coord!$E$2</f>
        <v>14.784281086176634</v>
      </c>
      <c r="W107" s="3"/>
      <c r="Y107">
        <f>-(Q107*1000-coord!$B$2)/$U107</f>
        <v>-0.18089911441914772</v>
      </c>
      <c r="Z107">
        <f>-(R107*1000-coord!$C$2)/$U107</f>
        <v>-0.58646721402988977</v>
      </c>
      <c r="AA107">
        <f>-(S107*1000-coord!$D$2)/$U107</f>
        <v>-0.78951433682613925</v>
      </c>
      <c r="AB107">
        <v>1</v>
      </c>
      <c r="AD107">
        <v>0.67801703206549968</v>
      </c>
      <c r="AE107">
        <v>-0.58646721402988977</v>
      </c>
      <c r="AF107">
        <v>0.75122442649101029</v>
      </c>
      <c r="AG107">
        <v>0.37183024044647678</v>
      </c>
      <c r="AH107">
        <v>-0.90618117594322889</v>
      </c>
      <c r="AI107">
        <v>-0.22158000696754132</v>
      </c>
      <c r="AJ107">
        <v>-0.25450659871765424</v>
      </c>
      <c r="AL107">
        <v>0.30077679910635324</v>
      </c>
      <c r="AM107">
        <v>2.4412823874825391</v>
      </c>
      <c r="AN107">
        <v>-0.44758002535619351</v>
      </c>
      <c r="AO107">
        <v>-0.16766329665532742</v>
      </c>
      <c r="AQ107">
        <v>0.11290623614978837</v>
      </c>
      <c r="AR107">
        <v>0.48951701226698174</v>
      </c>
      <c r="AS107">
        <v>0.41217667910597772</v>
      </c>
      <c r="AT107">
        <v>0.2655726633765671</v>
      </c>
      <c r="AV107">
        <v>-144.16231421172338</v>
      </c>
      <c r="AX107">
        <v>-54.5789495291273</v>
      </c>
      <c r="BA107">
        <f>SQRT(($Q107*1000+coord!$B$7*$O107*$R107*1000-coord!$B$2-AX$106)^2+($R107*1000-coord!$B$7*$O107*$Q107*1000-coord!$C$2-AX$107)^2+($S107*1000-coord!$D$2-AX$108)^2)</f>
        <v>21282035.174439233</v>
      </c>
      <c r="BB107" s="3">
        <f t="shared" ref="BB107:BB112" si="23">$D107-(BA107-$T107)-AX$109</f>
        <v>-2.8791962767780319</v>
      </c>
      <c r="BD107" s="1"/>
      <c r="BE107" s="1"/>
      <c r="BF107" s="1"/>
      <c r="BS107">
        <f>-SIN(RADIANS(BH106))*SIN(RADIANS(BI106))</f>
        <v>-0.14679550372108857</v>
      </c>
      <c r="BT107">
        <f>COS(RADIANS(BI106))</f>
        <v>0.9785255364965203</v>
      </c>
      <c r="BU107">
        <f>COS(RADIANS(BH106))*SIN(RADIANS(BI106))</f>
        <v>0.14470264168794195</v>
      </c>
      <c r="BW107" t="s">
        <v>94</v>
      </c>
      <c r="BX107">
        <v>-0.206125627771505</v>
      </c>
      <c r="BY107">
        <v>0.97852553649652041</v>
      </c>
      <c r="BZ107">
        <v>0</v>
      </c>
      <c r="CA107">
        <v>0</v>
      </c>
      <c r="CB107" s="1">
        <v>-55.295731366154499</v>
      </c>
      <c r="CD107" s="1"/>
      <c r="CE107" s="1"/>
      <c r="CF107" s="1"/>
      <c r="CH107">
        <v>-0.42081238225320983</v>
      </c>
      <c r="CI107">
        <v>0.45573202824702924</v>
      </c>
      <c r="CJ107">
        <v>7.1612058954708513E-2</v>
      </c>
      <c r="CK107">
        <v>-0.14658957289308033</v>
      </c>
      <c r="CM107">
        <v>-0.1467955037210886</v>
      </c>
      <c r="CN107">
        <v>0.97852553649652041</v>
      </c>
      <c r="CO107">
        <v>0.14470264168794195</v>
      </c>
      <c r="CP107">
        <v>0</v>
      </c>
      <c r="CR107" s="5">
        <v>0.27662541059819429</v>
      </c>
      <c r="CS107" s="5">
        <v>0.53268564390503714</v>
      </c>
      <c r="CT107" s="5">
        <v>-0.17212616478723319</v>
      </c>
      <c r="CU107" s="5">
        <v>-0.14658957289308033</v>
      </c>
    </row>
    <row r="108" spans="1:108">
      <c r="A108">
        <v>30</v>
      </c>
      <c r="B108">
        <f t="shared" si="19"/>
        <v>0.5</v>
      </c>
      <c r="C108">
        <v>10</v>
      </c>
      <c r="D108">
        <v>22822322.708999999</v>
      </c>
      <c r="E108">
        <v>119932118.65548</v>
      </c>
      <c r="F108">
        <v>3002.6590000000001</v>
      </c>
      <c r="G108">
        <v>22822322.590999998</v>
      </c>
      <c r="H108">
        <v>93453602.646459997</v>
      </c>
      <c r="J108" s="5">
        <f>'sv10'!$AA$3+'sv10'!$Z$3*($B108)+'sv10'!$Y$3*($B108)^2+'sv10'!$X$3*($B108)^3+'sv10'!$W$3*($B108)^4+'sv10'!$V$3*($B108)^5+'sv10'!$U$3*($B108)^6+'sv10'!$T$3*($B108)^7+'sv10'!$S$3*($B108)^8</f>
        <v>8105.6032964534525</v>
      </c>
      <c r="K108" s="5">
        <f>'sv10'!$AA$4+'sv10'!$Z$4*($B108)+'sv10'!$Y$4*($B108)^2+'sv10'!$X$4*($B108)^3+'sv10'!$W$4*($B108)^4+'sv10'!$V$4*($B108)^5+'sv10'!$U$4*($B108)^6+'sv10'!$T$4*($B108)^7+'sv10'!$S$4*($B108)^8</f>
        <v>-16210.250852623927</v>
      </c>
      <c r="L108" s="5">
        <f>'sv10'!$AA$5+'sv10'!$Z$5*($B108)+'sv10'!$Y$5*($B108)^2+'sv10'!$X$5*($B108)^3+'sv10'!$W$5*($B108)^4+'sv10'!$V$5*($B108)^5+'sv10'!$U$5*($B108)^6+'sv10'!$T$5*($B108)^7+'sv10'!$S$5*($B108)^8</f>
        <v>19109.04992427383</v>
      </c>
      <c r="M108" s="5">
        <f>'sv10'!$AA$6+'sv10'!$Z$6*$B108+'sv10'!$Y$6*$B108^2+'sv10'!$X$6*$B108^3+'sv10'!$W$6*$B108^4+'sv10'!$V$6*$B108^5+'sv10'!$U$6*$B108^6+'sv10'!$T$6*$B108^7+'sv10'!$S$6*$B108^8</f>
        <v>-43.00160282441707</v>
      </c>
      <c r="O108">
        <f>SQRT(($J108*1000-coord!$B$2)^2+($K108*1000-coord!$C$2)^2+($L108*1000-coord!$D$2)^2)/coord!$B$6</f>
        <v>7.6083954215357227E-2</v>
      </c>
      <c r="Q108" s="5">
        <f>'sv10'!$AA$3+'sv10'!$Z$3*($B108-$O108/3600)+'sv10'!$Y$3*($B108-$O108/3600)^2+'sv10'!$X$3*($B108-$O108/3600)^3+'sv10'!$W$3*($B108-$O108/3600)^4+'sv10'!$V$3*($B108-$O108/3600)^5+'sv10'!$U$3*($B108-$O108/3600)^6+'sv10'!$T$3*($B108-$O108/3600)^7+'sv10'!$S$3*($B108-$O108/3600)^8+K108*coord!$B$7*O108</f>
        <v>8105.4316083461572</v>
      </c>
      <c r="R108" s="5">
        <f>'sv10'!$AA$4+'sv10'!$Z$4*($B108-$O108/3600)+'sv10'!$Y$4*($B108-$O108/3600)^2+'sv10'!$X$4*($B108-$O108/3600)^3+'sv10'!$W$4*($B108-$O108/3600)^4+'sv10'!$V$4*($B108-$O108/3600)^5+'sv10'!$U$4*($B108-$O108/3600)^6+'sv10'!$T$4*($B108-$O108/3600)^7+'sv10'!$S$4*($B108-$O108/3600)^8-J108*coord!$B$7*O108</f>
        <v>-16210.466328231121</v>
      </c>
      <c r="S108" s="5">
        <f>'sv10'!$AA$5+'sv10'!$Z$5*($B108-$O108/3600)+'sv10'!$Y$5*($B108-$O108/3600)^2+'sv10'!$X$5*($B108-$O108/3600)^3+'sv10'!$W$5*($B108-$O108/3600)^4+'sv10'!$V$5*($B108-$O108/3600)^5+'sv10'!$U$5*($B108-$O108/3600)^6+'sv10'!$T$5*($B108-$O108/3600)^7+'sv10'!$S$5*($B108-$O108/3600)^8</f>
        <v>19108.938419855556</v>
      </c>
      <c r="T108">
        <f>coord!$B$6*M108/10^6</f>
        <v>-12891.556208671736</v>
      </c>
      <c r="U108">
        <f>SQRT(($Q108*1000+coord!$B$7*$O108*$R108*1000-coord!$B$2)^2+($R108*1000-coord!$B$7*$O108*$Q108*1000-coord!$C$2)^2+($S108*1000-coord!$D$2)^2)</f>
        <v>22809477.350822233</v>
      </c>
      <c r="V108" s="3">
        <f>$D108-(U108-$T108)-coord!$E$2</f>
        <v>-46.198030903935432</v>
      </c>
      <c r="W108" s="3"/>
      <c r="Y108">
        <f>-(Q108*1000-coord!$B$2)/$U108</f>
        <v>-0.16293900032795722</v>
      </c>
      <c r="Z108">
        <f>-(R108*1000-coord!$C$2)/$U108</f>
        <v>0.75122442649101029</v>
      </c>
      <c r="AA108">
        <f>-(S108*1000-coord!$D$2)/$U108</f>
        <v>-0.63961790623973425</v>
      </c>
      <c r="AB108">
        <v>1</v>
      </c>
      <c r="AD108">
        <v>-0.71781504232933047</v>
      </c>
      <c r="AE108">
        <v>-0.78951433682613925</v>
      </c>
      <c r="AF108">
        <v>-0.63961790623973425</v>
      </c>
      <c r="AG108">
        <v>-0.40556056433705806</v>
      </c>
      <c r="AH108">
        <v>-1.7174825987652558E-2</v>
      </c>
      <c r="AI108">
        <v>-0.85012282186464605</v>
      </c>
      <c r="AJ108">
        <v>-1.3552017187150786E-2</v>
      </c>
      <c r="AL108">
        <v>1.1257265278891531</v>
      </c>
      <c r="AM108">
        <v>-0.44758002535619351</v>
      </c>
      <c r="AN108">
        <v>2.4353692044488273</v>
      </c>
      <c r="AO108">
        <v>-3.433357514771711</v>
      </c>
      <c r="AQ108">
        <v>1.6092775589580479</v>
      </c>
      <c r="AR108">
        <v>0.41217667910597755</v>
      </c>
      <c r="AS108">
        <v>2.576571614232138</v>
      </c>
      <c r="AT108">
        <v>2.0102851284880443</v>
      </c>
      <c r="AV108">
        <v>70.802937115978921</v>
      </c>
      <c r="AX108">
        <v>27.248947057475803</v>
      </c>
      <c r="BA108">
        <f>SQRT(($Q108*1000+coord!$B$7*$O108*$R108*1000-coord!$B$2-AX$106)^2+($R108*1000-coord!$B$7*$O108*$Q108*1000-coord!$C$2-AX$107)^2+($S108*1000-coord!$D$2-AX$108)^2)</f>
        <v>22809417.427706793</v>
      </c>
      <c r="BB108" s="3">
        <f t="shared" si="23"/>
        <v>4.8992136550306782</v>
      </c>
      <c r="BD108" s="1"/>
      <c r="BE108" s="1"/>
      <c r="BF108" s="1"/>
      <c r="BS108">
        <f>COS(RADIANS(BH106))</f>
        <v>0.70201189076958503</v>
      </c>
      <c r="BT108">
        <v>0</v>
      </c>
      <c r="BU108">
        <f>SIN(RADIANS(BH106))</f>
        <v>0.71216522325799658</v>
      </c>
      <c r="BW108" t="s">
        <v>95</v>
      </c>
      <c r="BX108">
        <v>0.68693656204224485</v>
      </c>
      <c r="BY108">
        <v>0.14470264168794195</v>
      </c>
      <c r="BZ108">
        <v>0.71216522325799669</v>
      </c>
      <c r="CA108">
        <v>0</v>
      </c>
      <c r="CB108" s="1">
        <v>17.802788493416088</v>
      </c>
      <c r="CD108" s="1"/>
      <c r="CE108" s="1"/>
      <c r="CF108" s="1"/>
      <c r="CH108">
        <v>2.9330057008412593</v>
      </c>
      <c r="CI108">
        <v>0.44193172321733437</v>
      </c>
      <c r="CJ108">
        <v>3.0000593469210219</v>
      </c>
      <c r="CK108">
        <v>2.8246546979250309</v>
      </c>
      <c r="CM108">
        <v>0.70201189076958515</v>
      </c>
      <c r="CN108">
        <v>0</v>
      </c>
      <c r="CO108">
        <v>0.71216522325799669</v>
      </c>
      <c r="CP108">
        <v>0</v>
      </c>
      <c r="CR108" s="5">
        <v>-2.7253851810451479E-3</v>
      </c>
      <c r="CS108" s="5">
        <v>-0.17212616478723364</v>
      </c>
      <c r="CT108" s="5">
        <v>4.2152754749687018</v>
      </c>
      <c r="CU108" s="5">
        <v>2.8246546979250309</v>
      </c>
    </row>
    <row r="109" spans="1:108">
      <c r="A109">
        <v>30</v>
      </c>
      <c r="B109">
        <f t="shared" si="19"/>
        <v>0.5</v>
      </c>
      <c r="C109">
        <v>4</v>
      </c>
      <c r="D109">
        <v>21187859.741</v>
      </c>
      <c r="E109">
        <v>111342952.75748999</v>
      </c>
      <c r="F109">
        <v>-1076.7570000000001</v>
      </c>
      <c r="G109">
        <v>21187859.263999999</v>
      </c>
      <c r="H109">
        <v>86760739.080479994</v>
      </c>
      <c r="J109" s="5">
        <f>'sv04'!$AA$3+'sv04'!$Z$3*($B109)+'sv04'!$Y$3*($B109)^2+'sv04'!$X$3*($B109)^3+'sv04'!$W$3*($B109)^4+'sv04'!$V$3*($B109)^5+'sv04'!$U$3*($B109)^6+'sv04'!$T$3*($B109)^7+'sv04'!$S$3*($B109)^8</f>
        <v>22103.060243282973</v>
      </c>
      <c r="K109" s="5">
        <f>'sv04'!$AA$4+'sv04'!$Z$4*($B109)+'sv04'!$Y$4*($B109)^2+'sv04'!$X$4*($B109)^3+'sv04'!$W$4*($B109)^4+'sv04'!$V$4*($B109)^5+'sv04'!$U$4*($B109)^6+'sv04'!$T$4*($B109)^7+'sv04'!$S$4*($B109)^8</f>
        <v>-6963.2335493617193</v>
      </c>
      <c r="L109" s="5">
        <f>'sv04'!$AA$5+'sv04'!$Z$5*($B109)+'sv04'!$Y$5*($B109)^2+'sv04'!$X$5*($B109)^3+'sv04'!$W$5*($B109)^4+'sv04'!$V$5*($B109)^5+'sv04'!$U$5*($B109)^6+'sv04'!$T$5*($B109)^7+'sv04'!$S$5*($B109)^8</f>
        <v>13122.915017055439</v>
      </c>
      <c r="M109" s="5">
        <f>'sv04'!$AA$6+'sv04'!$Z$6*$B109+'sv04'!$Y$6*$B109^2+'sv04'!$X$6*$B109^3+'sv04'!$W$6*$B109^4+'sv04'!$V$6*$B109^5+'sv04'!$U$6*$B109^6+'sv04'!$T$6*$B109^7+'sv04'!$S$6*$B109^8</f>
        <v>86.60225528501374</v>
      </c>
      <c r="O109">
        <f>SQRT(($J109*1000-coord!$B$2)^2+($K109*1000-coord!$C$2)^2+($L109*1000-coord!$D$2)^2)/coord!$B$6</f>
        <v>7.0761747020986601E-2</v>
      </c>
      <c r="Q109" s="5">
        <f>'sv04'!$AA$3+'sv04'!$Z$3*($B109-$O109/3600)+'sv04'!$Y$3*($B109-$O109/3600)^2+'sv04'!$X$3*($B109-$O109/3600)^3+'sv04'!$W$3*($B109-$O109/3600)^4+'sv04'!$V$3*($B109-$O109/3600)^5+'sv04'!$U$3*($B109-$O109/3600)^6+'sv04'!$T$3*($B109-$O109/3600)^7+'sv04'!$S$3*($B109-$O109/3600)^8+K109*coord!$B$7*O109</f>
        <v>22102.90814794922</v>
      </c>
      <c r="R109" s="5">
        <f>'sv04'!$AA$4+'sv04'!$Z$4*($B109-$O109/3600)+'sv04'!$Y$4*($B109-$O109/3600)^2+'sv04'!$X$4*($B109-$O109/3600)^3+'sv04'!$W$4*($B109-$O109/3600)^4+'sv04'!$V$4*($B109-$O109/3600)^5+'sv04'!$U$4*($B109-$O109/3600)^6+'sv04'!$T$4*($B109-$O109/3600)^7+'sv04'!$S$4*($B109-$O109/3600)^8-J109*coord!$B$7*O109</f>
        <v>-6963.3801262892403</v>
      </c>
      <c r="S109" s="5">
        <f>'sv04'!$AA$5+'sv04'!$Z$5*($B109-$O109/3600)+'sv04'!$Y$5*($B109-$O109/3600)^2+'sv04'!$X$5*($B109-$O109/3600)^3+'sv04'!$W$5*($B109-$O109/3600)^4+'sv04'!$V$5*($B109-$O109/3600)^5+'sv04'!$U$5*($B109-$O109/3600)^6+'sv04'!$T$5*($B109-$O109/3600)^7+'sv04'!$S$5*($B109-$O109/3600)^8</f>
        <v>13123.088590209438</v>
      </c>
      <c r="T109">
        <f>coord!$B$6*M109/10^6</f>
        <v>25962.702980237758</v>
      </c>
      <c r="U109">
        <f>SQRT(($Q109*1000+coord!$B$7*$O109*$R109*1000-coord!$B$2)^2+($R109*1000-coord!$B$7*$O109*$Q109*1000-coord!$C$2)^2+($S109*1000-coord!$D$2)^2)</f>
        <v>21213848.368055675</v>
      </c>
      <c r="V109" s="3">
        <f>$D109-(U109-$T109)-coord!$E$2</f>
        <v>-25.924075435847044</v>
      </c>
      <c r="W109" s="3"/>
      <c r="Y109">
        <f>-(Q109*1000-coord!$B$2)/$U109</f>
        <v>-0.83502199458649062</v>
      </c>
      <c r="Z109">
        <f>-(R109*1000-coord!$C$2)/$U109</f>
        <v>0.37183024044647678</v>
      </c>
      <c r="AA109">
        <f>-(S109*1000-coord!$D$2)/$U109</f>
        <v>-0.40556056433705806</v>
      </c>
      <c r="AB109">
        <v>1</v>
      </c>
      <c r="AD109">
        <v>1</v>
      </c>
      <c r="AE109">
        <v>1</v>
      </c>
      <c r="AF109">
        <v>1</v>
      </c>
      <c r="AG109">
        <v>1</v>
      </c>
      <c r="AH109">
        <v>1</v>
      </c>
      <c r="AI109">
        <v>1</v>
      </c>
      <c r="AJ109">
        <v>1</v>
      </c>
      <c r="AL109">
        <v>-3.2042934146551394</v>
      </c>
      <c r="AM109">
        <v>-0.16766329665532742</v>
      </c>
      <c r="AN109">
        <v>-3.433357514771711</v>
      </c>
      <c r="AO109">
        <v>7</v>
      </c>
      <c r="AQ109">
        <v>1.971900390052493</v>
      </c>
      <c r="AR109">
        <v>0.26557266337656693</v>
      </c>
      <c r="AS109">
        <v>2.0102851284880439</v>
      </c>
      <c r="AT109">
        <v>2.0378716821675131</v>
      </c>
      <c r="AV109">
        <v>-51.985988486558199</v>
      </c>
      <c r="AX109">
        <v>8.8258708807468906</v>
      </c>
      <c r="BA109">
        <f>SQRT(($Q109*1000+coord!$B$7*$O109*$R109*1000-coord!$B$2-AX$106)^2+($R109*1000-coord!$B$7*$O109*$Q109*1000-coord!$C$2-AX$107)^2+($S109*1000-coord!$D$2-AX$108)^2)</f>
        <v>21213809.370891895</v>
      </c>
      <c r="BB109" s="3">
        <f t="shared" si="23"/>
        <v>4.2472174634396538</v>
      </c>
      <c r="BD109" s="1"/>
      <c r="BE109" s="1"/>
      <c r="BF109" s="1"/>
      <c r="BX109">
        <v>0</v>
      </c>
      <c r="BY109">
        <v>0</v>
      </c>
      <c r="BZ109">
        <v>0</v>
      </c>
      <c r="CA109">
        <v>1</v>
      </c>
      <c r="CD109" s="1"/>
      <c r="CE109" s="1"/>
      <c r="CF109" s="1"/>
      <c r="CH109">
        <v>1.971900390052493</v>
      </c>
      <c r="CI109">
        <v>0.26557266337656693</v>
      </c>
      <c r="CJ109">
        <v>2.0102851284880439</v>
      </c>
      <c r="CK109">
        <v>2.0378716821675131</v>
      </c>
      <c r="CM109">
        <v>0</v>
      </c>
      <c r="CN109">
        <v>0</v>
      </c>
      <c r="CO109">
        <v>0</v>
      </c>
      <c r="CP109">
        <v>1</v>
      </c>
      <c r="CR109" s="5">
        <v>-1.9026958147680961E-3</v>
      </c>
      <c r="CS109" s="5">
        <v>-0.14658957289308072</v>
      </c>
      <c r="CT109" s="5">
        <v>2.8246546979250313</v>
      </c>
      <c r="CU109" s="5">
        <v>2.0378716821675131</v>
      </c>
    </row>
    <row r="110" spans="1:108">
      <c r="A110">
        <v>30</v>
      </c>
      <c r="B110">
        <f t="shared" si="19"/>
        <v>0.5</v>
      </c>
      <c r="C110">
        <v>20</v>
      </c>
      <c r="D110">
        <v>23148443.259</v>
      </c>
      <c r="E110">
        <v>121645884.96247999</v>
      </c>
      <c r="F110">
        <v>-3101.7460000000001</v>
      </c>
      <c r="G110">
        <v>23148442.530999999</v>
      </c>
      <c r="H110">
        <v>94788995.159459993</v>
      </c>
      <c r="J110" s="5">
        <f>'sv20'!$AA$3+'sv20'!$Z$3*($B110)+'sv20'!$Y$3*($B110)^2+'sv20'!$X$3*($B110)^3+'sv20'!$W$3*($B110)^4+'sv20'!$V$3*($B110)^5+'sv20'!$U$3*($B110)^6+'sv20'!$T$3*($B110)^7+'sv20'!$S$3*($B110)^8</f>
        <v>14177.00679380188</v>
      </c>
      <c r="K110" s="5">
        <f>'sv20'!$AA$4+'sv20'!$Z$4*($B110)+'sv20'!$Y$4*($B110)^2+'sv20'!$X$4*($B110)^3+'sv20'!$W$4*($B110)^4+'sv20'!$V$4*($B110)^5+'sv20'!$U$4*($B110)^6+'sv20'!$T$4*($B110)^7+'sv20'!$S$4*($B110)^8</f>
        <v>21916.501549730838</v>
      </c>
      <c r="L110" s="5">
        <f>'sv20'!$AA$5+'sv20'!$Z$5*($B110)+'sv20'!$Y$5*($B110)^2+'sv20'!$X$5*($B110)^3+'sv20'!$W$5*($B110)^4+'sv20'!$V$5*($B110)^5+'sv20'!$U$5*($B110)^6+'sv20'!$T$5*($B110)^7+'sv20'!$S$5*($B110)^8</f>
        <v>4917.2105493223071</v>
      </c>
      <c r="M110" s="5">
        <f>'sv20'!$AA$6+'sv20'!$Z$6*$B110+'sv20'!$Y$6*$B110^2+'sv20'!$X$6*$B110^3+'sv20'!$W$6*$B110^4+'sv20'!$V$6*$B110^5+'sv20'!$U$6*$B110^6+'sv20'!$T$6*$B110^7+'sv20'!$S$6*$B110^8</f>
        <v>55.817727916267955</v>
      </c>
      <c r="O110">
        <f>SQRT(($J110*1000-coord!$B$2)^2+($K110*1000-coord!$C$2)^2+($L110*1000-coord!$D$2)^2)/coord!$B$6</f>
        <v>7.7270808184063081E-2</v>
      </c>
      <c r="Q110" s="5">
        <f>'sv20'!$AA$3+'sv20'!$Z$3*($B110-$O110/3600)+'sv20'!$Y$3*($B110-$O110/3600)^2+'sv20'!$X$3*($B110-$O110/3600)^3+'sv20'!$W$3*($B110-$O110/3600)^4+'sv20'!$V$3*($B110-$O110/3600)^5+'sv20'!$U$3*($B110-$O110/3600)^6+'sv20'!$T$3*($B110-$O110/3600)^7+'sv20'!$S$3*($B110-$O110/3600)^8+K110*coord!$B$7*O110</f>
        <v>14177.13341529076</v>
      </c>
      <c r="R110" s="5">
        <f>'sv20'!$AA$4+'sv20'!$Z$4*($B110-$O110/3600)+'sv20'!$Y$4*($B110-$O110/3600)^2+'sv20'!$X$4*($B110-$O110/3600)^3+'sv20'!$W$4*($B110-$O110/3600)^4+'sv20'!$V$4*($B110-$O110/3600)^5+'sv20'!$U$4*($B110-$O110/3600)^6+'sv20'!$T$4*($B110-$O110/3600)^7+'sv20'!$S$4*($B110-$O110/3600)^8-J110*coord!$B$7*O110</f>
        <v>21916.365453772618</v>
      </c>
      <c r="S110" s="5">
        <f>'sv20'!$AA$5+'sv20'!$Z$5*($B110-$O110/3600)+'sv20'!$Y$5*($B110-$O110/3600)^2+'sv20'!$X$5*($B110-$O110/3600)^3+'sv20'!$W$5*($B110-$O110/3600)^4+'sv20'!$V$5*($B110-$O110/3600)^5+'sv20'!$U$5*($B110-$O110/3600)^6+'sv20'!$T$5*($B110-$O110/3600)^7+'sv20'!$S$5*($B110-$O110/3600)^8</f>
        <v>4917.4451709078967</v>
      </c>
      <c r="T110">
        <f>coord!$B$6*M110/10^6</f>
        <v>16733.733851993187</v>
      </c>
      <c r="U110">
        <f>SQRT(($Q110*1000+coord!$B$7*$O110*$R110*1000-coord!$B$2)^2+($R110*1000-coord!$B$7*$O110*$Q110*1000-coord!$C$2)^2+($S110*1000-coord!$D$2)^2)</f>
        <v>23165119.512356468</v>
      </c>
      <c r="V110" s="3">
        <f>$D110-(U110-$T110)-coord!$E$2</f>
        <v>57.480495523661375</v>
      </c>
      <c r="W110" s="3"/>
      <c r="Y110">
        <f>-(Q110*1000-coord!$B$2)/$U110</f>
        <v>-0.42254283381830265</v>
      </c>
      <c r="Z110">
        <f>-(R110*1000-coord!$C$2)/$U110</f>
        <v>-0.90618117594322889</v>
      </c>
      <c r="AA110">
        <f>-(S110*1000-coord!$D$2)/$U110</f>
        <v>-1.7174825987652558E-2</v>
      </c>
      <c r="AB110">
        <v>1</v>
      </c>
      <c r="BA110">
        <f>SQRT(($Q110*1000+coord!$B$7*$O110*$R110*1000-coord!$B$2-AX$106)^2+($R110*1000-coord!$B$7*$O110*$Q110*1000-coord!$C$2-AX$107)^2+($S110*1000-coord!$D$2-AX$108)^2)</f>
        <v>23165164.630600307</v>
      </c>
      <c r="BB110" s="3">
        <f t="shared" si="23"/>
        <v>3.5363808033227428</v>
      </c>
      <c r="BD110" s="1"/>
      <c r="BE110" s="1"/>
      <c r="BF110" s="1"/>
      <c r="CD110" s="1"/>
      <c r="CE110" s="1"/>
      <c r="CF110" s="1"/>
    </row>
    <row r="111" spans="1:108">
      <c r="A111">
        <v>30</v>
      </c>
      <c r="B111">
        <f t="shared" si="19"/>
        <v>0.5</v>
      </c>
      <c r="C111">
        <v>13</v>
      </c>
      <c r="D111">
        <v>20160545.855</v>
      </c>
      <c r="E111">
        <v>105944382.03249</v>
      </c>
      <c r="F111">
        <v>-760.81200000000001</v>
      </c>
      <c r="G111">
        <v>20160543.940000001</v>
      </c>
      <c r="H111">
        <v>82554055.873480007</v>
      </c>
      <c r="J111" s="5">
        <f>'sv13'!$AA$3+'sv13'!$Z$3*($B111)+'sv13'!$Y$3*($B111)^2+'sv13'!$X$3*($B111)^3+'sv13'!$W$3*($B111)^4+'sv13'!$V$3*($B111)^5+'sv13'!$U$3*($B111)^6+'sv13'!$T$3*($B111)^7+'sv13'!$S$3*($B111)^8</f>
        <v>14062.91740334277</v>
      </c>
      <c r="K111" s="5">
        <f>'sv13'!$AA$4+'sv13'!$Z$4*($B111)+'sv13'!$Y$4*($B111)^2+'sv13'!$X$4*($B111)^3+'sv13'!$W$4*($B111)^4+'sv13'!$V$4*($B111)^5+'sv13'!$U$4*($B111)^6+'sv13'!$T$4*($B111)^7+'sv13'!$S$4*($B111)^8</f>
        <v>5412.1668439653395</v>
      </c>
      <c r="L111" s="5">
        <f>'sv13'!$AA$5+'sv13'!$Z$5*($B111)+'sv13'!$Y$5*($B111)^2+'sv13'!$X$5*($B111)^3+'sv13'!$W$5*($B111)^4+'sv13'!$V$5*($B111)^5+'sv13'!$U$5*($B111)^6+'sv13'!$T$5*($B111)^7+'sv13'!$S$5*($B111)^8</f>
        <v>21736.107283555455</v>
      </c>
      <c r="M111" s="5">
        <f>'sv13'!$AA$6+'sv13'!$Z$6*$B111+'sv13'!$Y$6*$B111^2+'sv13'!$X$6*$B111^3+'sv13'!$W$6*$B111^4+'sv13'!$V$6*$B111^5+'sv13'!$U$6*$B111^6+'sv13'!$T$6*$B111^7+'sv13'!$S$6*$B111^8</f>
        <v>304.21940577402637</v>
      </c>
      <c r="O111">
        <f>SQRT(($J111*1000-coord!$B$2)^2+($K111*1000-coord!$C$2)^2+($L111*1000-coord!$D$2)^2)/coord!$B$6</f>
        <v>6.7552624900731301E-2</v>
      </c>
      <c r="Q111" s="5">
        <f>'sv13'!$AA$3+'sv13'!$Z$3*($B111-$O111/3600)+'sv13'!$Y$3*($B111-$O111/3600)^2+'sv13'!$X$3*($B111-$O111/3600)^3+'sv13'!$W$3*($B111-$O111/3600)^4+'sv13'!$V$3*($B111-$O111/3600)^5+'sv13'!$U$3*($B111-$O111/3600)^6+'sv13'!$T$3*($B111-$O111/3600)^7+'sv13'!$S$3*($B111-$O111/3600)^8+K111*coord!$B$7*O111</f>
        <v>14063.065203245204</v>
      </c>
      <c r="R111" s="5">
        <f>'sv13'!$AA$4+'sv13'!$Z$4*($B111-$O111/3600)+'sv13'!$Y$4*($B111-$O111/3600)^2+'sv13'!$X$4*($B111-$O111/3600)^3+'sv13'!$W$4*($B111-$O111/3600)^4+'sv13'!$V$4*($B111-$O111/3600)^5+'sv13'!$U$4*($B111-$O111/3600)^6+'sv13'!$T$4*($B111-$O111/3600)^7+'sv13'!$S$4*($B111-$O111/3600)^8-J111*coord!$B$7*O111</f>
        <v>5411.9536621414054</v>
      </c>
      <c r="S111" s="5">
        <f>'sv13'!$AA$5+'sv13'!$Z$5*($B111-$O111/3600)+'sv13'!$Y$5*($B111-$O111/3600)^2+'sv13'!$X$5*($B111-$O111/3600)^3+'sv13'!$W$5*($B111-$O111/3600)^4+'sv13'!$V$5*($B111-$O111/3600)^5+'sv13'!$U$5*($B111-$O111/3600)^6+'sv13'!$T$5*($B111-$O111/3600)^7+'sv13'!$S$5*($B111-$O111/3600)^8</f>
        <v>21736.065214665825</v>
      </c>
      <c r="T111">
        <f>coord!$B$6*M111/10^6</f>
        <v>91202.683428294753</v>
      </c>
      <c r="U111">
        <f>SQRT(($Q111*1000+coord!$B$7*$O111*$R111*1000-coord!$B$2)^2+($R111*1000-coord!$B$7*$O111*$Q111*1000-coord!$C$2)^2+($S111*1000-coord!$D$2)^2)</f>
        <v>20251752.449844223</v>
      </c>
      <c r="V111" s="3">
        <f>$D111-(U111-$T111)-coord!$E$2</f>
        <v>-3.9114159271121025</v>
      </c>
      <c r="W111" s="3"/>
      <c r="Y111">
        <f>-(Q111*1000-coord!$B$2)/$U111</f>
        <v>-0.47769629104466055</v>
      </c>
      <c r="Z111">
        <f>-(R111*1000-coord!$C$2)/$U111</f>
        <v>-0.22158000696754132</v>
      </c>
      <c r="AA111">
        <f>-(S111*1000-coord!$D$2)/$U111</f>
        <v>-0.85012282186464605</v>
      </c>
      <c r="AB111">
        <v>1</v>
      </c>
      <c r="BA111">
        <f>SQRT(($Q111*1000+coord!$B$7*$O111*$R111*1000-coord!$B$2-AX$106)^2+($R111*1000-coord!$B$7*$O111*$Q111*1000-coord!$C$2-AX$107)^2+($S111*1000-coord!$D$2-AX$108)^2)</f>
        <v>20251737.001008146</v>
      </c>
      <c r="BB111" s="3">
        <f t="shared" si="23"/>
        <v>2.711549269145678</v>
      </c>
      <c r="BD111" s="1"/>
      <c r="BE111" s="1"/>
      <c r="BF111" s="1"/>
      <c r="CD111" s="1"/>
      <c r="CE111" s="1"/>
      <c r="CF111" s="1"/>
    </row>
    <row r="112" spans="1:108">
      <c r="A112">
        <v>30</v>
      </c>
      <c r="B112">
        <f t="shared" si="19"/>
        <v>0.5</v>
      </c>
      <c r="C112">
        <v>7</v>
      </c>
      <c r="D112">
        <v>21732077.164000001</v>
      </c>
      <c r="E112">
        <v>114202842.08449</v>
      </c>
      <c r="F112">
        <v>2790.2060000000001</v>
      </c>
      <c r="G112">
        <v>21732076.280999999</v>
      </c>
      <c r="H112">
        <v>88989228.288479999</v>
      </c>
      <c r="J112" s="5">
        <f>'sv07'!$AA$3+'sv07'!$Z$3*($B112)+'sv07'!$Y$3*($B112)^2+'sv07'!$X$3*($B112)^3+'sv07'!$W$3*($B112)^4+'sv07'!$V$3*($B112)^5+'sv07'!$U$3*($B112)^6+'sv07'!$T$3*($B112)^7+'sv07'!$S$3*($B112)^8</f>
        <v>25403.005722282782</v>
      </c>
      <c r="K112" s="5">
        <f>'sv07'!$AA$4+'sv07'!$Z$4*($B112)+'sv07'!$Y$4*($B112)^2+'sv07'!$X$4*($B112)^3+'sv07'!$W$4*($B112)^4+'sv07'!$V$4*($B112)^5+'sv07'!$U$4*($B112)^6+'sv07'!$T$4*($B112)^7+'sv07'!$S$4*($B112)^8</f>
        <v>6455.621849692252</v>
      </c>
      <c r="L112" s="5">
        <f>'sv07'!$AA$5+'sv07'!$Z$5*($B112)+'sv07'!$Y$5*($B112)^2+'sv07'!$X$5*($B112)^3+'sv07'!$W$5*($B112)^4+'sv07'!$V$5*($B112)^5+'sv07'!$U$5*($B112)^6+'sv07'!$T$5*($B112)^7+'sv07'!$S$5*($B112)^8</f>
        <v>4814.3245616110553</v>
      </c>
      <c r="M112" s="5">
        <f>'sv07'!$AA$6+'sv07'!$Z$6*$B112+'sv07'!$Y$6*$B112^2+'sv07'!$X$6*$B112^3+'sv07'!$W$6*$B112^4+'sv07'!$V$6*$B112^5+'sv07'!$U$6*$B112^6+'sv07'!$T$6*$B112^7+'sv07'!$S$6*$B112^8</f>
        <v>-0.63788063705644205</v>
      </c>
      <c r="O112">
        <f>SQRT(($J112*1000-coord!$B$2)^2+($K112*1000-coord!$C$2)^2+($L112*1000-coord!$D$2)^2)/coord!$B$6</f>
        <v>7.2489622269318932E-2</v>
      </c>
      <c r="Q112" s="5">
        <f>'sv07'!$AA$3+'sv07'!$Z$3*($B112-$O112/3600)+'sv07'!$Y$3*($B112-$O112/3600)^2+'sv07'!$X$3*($B112-$O112/3600)^3+'sv07'!$W$3*($B112-$O112/3600)^4+'sv07'!$V$3*($B112-$O112/3600)^5+'sv07'!$U$3*($B112-$O112/3600)^6+'sv07'!$T$3*($B112-$O112/3600)^7+'sv07'!$S$3*($B112-$O112/3600)^8+K112*coord!$B$7*O112</f>
        <v>25403.085698386894</v>
      </c>
      <c r="R112" s="5">
        <f>'sv07'!$AA$4+'sv07'!$Z$4*($B112-$O112/3600)+'sv07'!$Y$4*($B112-$O112/3600)^2+'sv07'!$X$4*($B112-$O112/3600)^3+'sv07'!$W$4*($B112-$O112/3600)^4+'sv07'!$V$4*($B112-$O112/3600)^5+'sv07'!$U$4*($B112-$O112/3600)^6+'sv07'!$T$4*($B112-$O112/3600)^7+'sv07'!$S$4*($B112-$O112/3600)^8-J112*coord!$B$7*O112</f>
        <v>6455.4766111451045</v>
      </c>
      <c r="S112" s="5">
        <f>'sv07'!$AA$5+'sv07'!$Z$5*($B112-$O112/3600)+'sv07'!$Y$5*($B112-$O112/3600)^2+'sv07'!$X$5*($B112-$O112/3600)^3+'sv07'!$W$5*($B112-$O112/3600)^4+'sv07'!$V$5*($B112-$O112/3600)^5+'sv07'!$U$5*($B112-$O112/3600)^6+'sv07'!$T$5*($B112-$O112/3600)^7+'sv07'!$S$5*($B112-$O112/3600)^8</f>
        <v>4814.0990608302463</v>
      </c>
      <c r="T112">
        <f>coord!$B$6*M112/10^6</f>
        <v>-191.23180409375664</v>
      </c>
      <c r="U112">
        <f>SQRT(($Q112*1000+coord!$B$7*$O112*$R112*1000-coord!$B$2)^2+($R112*1000-coord!$B$7*$O112*$Q112*1000-coord!$C$2)^2+($S112*1000-coord!$D$2)^2)</f>
        <v>21731878.174526263</v>
      </c>
      <c r="V112" s="3">
        <f>$D112-(U112-$T112)-coord!$E$2</f>
        <v>7.7576696425676346</v>
      </c>
      <c r="W112" s="3" t="s">
        <v>127</v>
      </c>
      <c r="X112" s="1" t="s">
        <v>128</v>
      </c>
      <c r="Y112">
        <f>-(Q112*1000-coord!$B$2)/$U112</f>
        <v>-0.96697613334770982</v>
      </c>
      <c r="Z112">
        <f>-(R112*1000-coord!$C$2)/$U112</f>
        <v>-0.25450659871765424</v>
      </c>
      <c r="AA112">
        <f>-(S112*1000-coord!$D$2)/$U112</f>
        <v>-1.3552017187150786E-2</v>
      </c>
      <c r="AB112">
        <v>1</v>
      </c>
      <c r="BA112">
        <f>SQRT(($Q112*1000+coord!$B$7*$O112*$R112*1000-coord!$B$2-AX$106)^2+($R112*1000-coord!$B$7*$O112*$Q112*1000-coord!$C$2-AX$107)^2+($S112*1000-coord!$D$2-AX$108)^2)</f>
        <v>21731882.834784981</v>
      </c>
      <c r="BB112" s="3">
        <f t="shared" si="23"/>
        <v>-5.7284599560142055</v>
      </c>
      <c r="BC112" s="3" t="s">
        <v>127</v>
      </c>
      <c r="BD112" s="1" t="s">
        <v>128</v>
      </c>
      <c r="BE112" s="1"/>
      <c r="BF112" s="1"/>
      <c r="CD112" s="1"/>
      <c r="CE112" s="1"/>
      <c r="CF112" s="1"/>
    </row>
    <row r="113" spans="1:108">
      <c r="V113" s="3"/>
      <c r="W113" s="3">
        <f>AVERAGE($V106:$V112)</f>
        <v>-7.4265697837940285</v>
      </c>
      <c r="X113" s="1">
        <f>SQRT(DEVSQ($V106:$V112)/6)</f>
        <v>39.054431987727412</v>
      </c>
      <c r="BB113" s="3"/>
      <c r="BC113" s="3">
        <f>AVERAGE($BB106:$BB112)</f>
        <v>1.4008512832625847E-4</v>
      </c>
      <c r="BD113" s="1">
        <f>SQRT(DEVSQ($BB106:$BB112)/6)</f>
        <v>4.9841535372186136</v>
      </c>
      <c r="BE113" s="1"/>
      <c r="BF113" s="1"/>
      <c r="CD113" s="1"/>
      <c r="CE113" s="1"/>
      <c r="CF113" s="1"/>
    </row>
    <row r="114" spans="1:108">
      <c r="A114">
        <v>32</v>
      </c>
      <c r="B114">
        <f t="shared" si="19"/>
        <v>0.51666666666666661</v>
      </c>
      <c r="C114">
        <v>2</v>
      </c>
      <c r="D114">
        <v>22499213.019000001</v>
      </c>
      <c r="E114">
        <v>118234168.49049</v>
      </c>
      <c r="F114">
        <v>2122.116</v>
      </c>
      <c r="G114">
        <v>22499210.555</v>
      </c>
      <c r="H114">
        <v>92130510.400470003</v>
      </c>
      <c r="J114" s="5">
        <f>'sv02'!$AA$3+'sv02'!$Z$3*($B114)+'sv02'!$Y$3*($B114)^2+'sv02'!$X$3*($B114)^3+'sv02'!$W$3*($B114)^4+'sv02'!$V$3*($B114)^5+'sv02'!$U$3*($B114)^6+'sv02'!$T$3*($B114)^7+'sv02'!$S$3*($B114)^8</f>
        <v>8122.7445135465241</v>
      </c>
      <c r="K114" s="5">
        <f>'sv02'!$AA$4+'sv02'!$Z$4*($B114)+'sv02'!$Y$4*($B114)^2+'sv02'!$X$4*($B114)^3+'sv02'!$W$4*($B114)^4+'sv02'!$V$4*($B114)^5+'sv02'!$U$4*($B114)^6+'sv02'!$T$4*($B114)^7+'sv02'!$S$4*($B114)^8</f>
        <v>-14376.444124832906</v>
      </c>
      <c r="L114" s="5">
        <f>'sv02'!$AA$5+'sv02'!$Z$5*($B114)+'sv02'!$Y$5*($B114)^2+'sv02'!$X$5*($B114)^3+'sv02'!$W$5*($B114)^4+'sv02'!$V$5*($B114)^5+'sv02'!$U$5*($B114)^6+'sv02'!$T$5*($B114)^7+'sv02'!$S$5*($B114)^8</f>
        <v>20694.663255414231</v>
      </c>
      <c r="M114" s="5">
        <f>'sv02'!$AA$6+'sv02'!$Z$6*$B114+'sv02'!$Y$6*$B114^2+'sv02'!$X$6*$B114^3+'sv02'!$W$6*$B114^4+'sv02'!$V$6*$B114^5+'sv02'!$U$6*$B114^6+'sv02'!$T$6*$B114^7+'sv02'!$S$6*$B114^8</f>
        <v>257.59288379872049</v>
      </c>
      <c r="O114">
        <f>SQRT(($J114*1000-coord!$B$2)^2+($K114*1000-coord!$C$2)^2+($L114*1000-coord!$D$2)^2)/coord!$B$6</f>
        <v>7.5306912973658074E-2</v>
      </c>
      <c r="Q114" s="5">
        <f>'sv02'!$AA$3+'sv02'!$Z$3*($B114-$O114/3600)+'sv02'!$Y$3*($B114-$O114/3600)^2+'sv02'!$X$3*($B114-$O114/3600)^3+'sv02'!$W$3*($B114-$O114/3600)^4+'sv02'!$V$3*($B114-$O114/3600)^5+'sv02'!$U$3*($B114-$O114/3600)^6+'sv02'!$T$3*($B114-$O114/3600)^7+'sv02'!$S$3*($B114-$O114/3600)^8+K114*coord!$B$7*O114</f>
        <v>8122.4677837864347</v>
      </c>
      <c r="R114" s="5">
        <f>'sv02'!$AA$4+'sv02'!$Z$4*($B114-$O114/3600)+'sv02'!$Y$4*($B114-$O114/3600)^2+'sv02'!$X$4*($B114-$O114/3600)^3+'sv02'!$W$4*($B114-$O114/3600)^4+'sv02'!$V$4*($B114-$O114/3600)^5+'sv02'!$U$4*($B114-$O114/3600)^6+'sv02'!$T$4*($B114-$O114/3600)^7+'sv02'!$S$4*($B114-$O114/3600)^8-J114*coord!$B$7*O114</f>
        <v>-14376.516904063006</v>
      </c>
      <c r="S114" s="5">
        <f>'sv02'!$AA$5+'sv02'!$Z$5*($B114-$O114/3600)+'sv02'!$Y$5*($B114-$O114/3600)^2+'sv02'!$X$5*($B114-$O114/3600)^3+'sv02'!$W$5*($B114-$O114/3600)^4+'sv02'!$V$5*($B114-$O114/3600)^5+'sv02'!$U$5*($B114-$O114/3600)^6+'sv02'!$T$5*($B114-$O114/3600)^7+'sv02'!$S$5*($B114-$O114/3600)^8</f>
        <v>20694.72468298929</v>
      </c>
      <c r="T114">
        <f>coord!$B$6*M114/10^6</f>
        <v>77224.403797326799</v>
      </c>
      <c r="U114">
        <f>SQRT(($Q114*1000+coord!$B$7*$O114*$R114*1000-coord!$B$2)^2+($R114*1000-coord!$B$7*$O114*$Q114*1000-coord!$C$2)^2+($S114*1000-coord!$D$2)^2)</f>
        <v>22576509.28915948</v>
      </c>
      <c r="V114" s="3">
        <f>$D114-(U114-$T114)-coord!$E$2</f>
        <v>-71.866362150758505</v>
      </c>
      <c r="W114" s="3"/>
      <c r="Y114">
        <f>-(Q114*1000-coord!$B$2)/$U114</f>
        <v>-0.16537497294939146</v>
      </c>
      <c r="Z114">
        <f>-(R114*1000-coord!$C$2)/$U114</f>
        <v>0.67774370790838334</v>
      </c>
      <c r="AA114">
        <f>-(S114*1000-coord!$D$2)/$U114</f>
        <v>-0.71645869613935742</v>
      </c>
      <c r="AB114">
        <v>1</v>
      </c>
      <c r="AD114">
        <f t="array" ref="AD114:AJ117">TRANSPOSE(Y114:AB120)</f>
        <v>-0.16537497294939146</v>
      </c>
      <c r="AE114">
        <v>-0.17592061069979884</v>
      </c>
      <c r="AF114">
        <v>-0.16602965608846385</v>
      </c>
      <c r="AG114">
        <v>-0.83914588311964333</v>
      </c>
      <c r="AH114">
        <v>-0.42178267112087348</v>
      </c>
      <c r="AI114">
        <v>-0.47218484439664504</v>
      </c>
      <c r="AJ114">
        <v>-0.96660897103650156</v>
      </c>
      <c r="AL114">
        <f t="array" ref="AL114:AO117">MMULT(AD114:AJ117,Y114:AB120)</f>
        <v>2.1252206546284889</v>
      </c>
      <c r="AM114">
        <v>0.29409082469621228</v>
      </c>
      <c r="AN114">
        <v>1.1255821137113786</v>
      </c>
      <c r="AO114">
        <v>-3.2070476094113172</v>
      </c>
      <c r="AQ114">
        <f t="array" ref="AQ114:AT117">MINVERSE(AL114:AO117)</f>
        <v>2.5859536018204317</v>
      </c>
      <c r="AR114">
        <v>0.13379873734412687</v>
      </c>
      <c r="AS114">
        <v>1.6257416584346949</v>
      </c>
      <c r="AT114">
        <v>1.9846842002219232</v>
      </c>
      <c r="AV114">
        <f t="array" ref="AV114:AV117">MMULT(AD114:AJ117,V114:V120)</f>
        <v>-2.7532395134464736</v>
      </c>
      <c r="AX114">
        <f t="array" ref="AX114:AX117">MMULT(AQ114:AT117,AV114:AV117)</f>
        <v>2.163883147639126</v>
      </c>
      <c r="BA114">
        <f>SQRT(($Q114*1000+coord!$B$7*$O114*$R114*1000-coord!$B$2-AX$114)^2+($R114*1000-coord!$B$7*$O114*$Q114*1000-coord!$C$2-AX$115)^2+($S114*1000-coord!$D$2-AX$116)^2)</f>
        <v>22576435.083407387</v>
      </c>
      <c r="BB114" s="3">
        <f>$D114-(BA114-$T114)-AX$117</f>
        <v>-6.5893111270730458</v>
      </c>
      <c r="BD114" s="1">
        <f>coord!$B$2+$AX114</f>
        <v>4388880.3346831482</v>
      </c>
      <c r="BE114" s="1">
        <f>coord!$C$2+$AX115</f>
        <v>924500.49639685627</v>
      </c>
      <c r="BF114" s="1">
        <f>coord!$D$2+$AX116</f>
        <v>4519625.3980889888</v>
      </c>
      <c r="BG114" s="1">
        <f>coord!$E$2+$AX117</f>
        <v>8.9287010696594677</v>
      </c>
      <c r="BH114" s="8">
        <f>lat($BD114,$BE114,$BF114)</f>
        <v>45.411484280705551</v>
      </c>
      <c r="BI114" s="8">
        <f>lon($BD114,$BE114,$BF114)</f>
        <v>11.895229368825497</v>
      </c>
      <c r="BJ114" s="6">
        <f>h($BD114,$BE114,$BF114)</f>
        <v>79.95745506696403</v>
      </c>
      <c r="BL114">
        <f>grado($BH114)</f>
        <v>45</v>
      </c>
      <c r="BM114">
        <f>MINUTOprimo($BH114)</f>
        <v>24</v>
      </c>
      <c r="BN114">
        <f>MINUTOsecondo($BH114)</f>
        <v>41.343410539983552</v>
      </c>
      <c r="BO114">
        <f>grado($BI114)</f>
        <v>11</v>
      </c>
      <c r="BP114">
        <f>MINUTOprimo($BI114)</f>
        <v>53</v>
      </c>
      <c r="BQ114">
        <f>MINUTOsecondo($BI114)</f>
        <v>42.825727771788706</v>
      </c>
      <c r="BS114">
        <f>-SIN(RADIANS(BH114))*COS(RADIANS(BI114))</f>
        <v>-0.69687380846648872</v>
      </c>
      <c r="BT114">
        <f>-SIN(RADIANS(BI114))</f>
        <v>-0.20612271087167935</v>
      </c>
      <c r="BU114">
        <f>COS(RADIANS(BH114))*COS(RADIANS(BI114))</f>
        <v>0.68693545776610021</v>
      </c>
      <c r="BW114" t="s">
        <v>93</v>
      </c>
      <c r="BX114">
        <f t="array" ref="BX114:BZ116">MINVERSE(BS114:BU116)</f>
        <v>-0.69687380846648883</v>
      </c>
      <c r="BY114">
        <v>-0.1467937452661727</v>
      </c>
      <c r="BZ114">
        <v>0.70201032145128861</v>
      </c>
      <c r="CA114">
        <v>0</v>
      </c>
      <c r="CB114" s="1">
        <f t="array" ref="CB114:CB116">MMULT(BX114:BZ116,AX114:AX116)</f>
        <v>34.787320193004518</v>
      </c>
      <c r="CD114" s="1">
        <f t="array" ref="CD114:CF114">TRANSPOSE(CB114:CB116)</f>
        <v>34.787320193004518</v>
      </c>
      <c r="CE114" s="1">
        <v>-68.66574049611711</v>
      </c>
      <c r="CF114" s="1">
        <v>17.836736687979307</v>
      </c>
      <c r="CH114">
        <f t="array" ref="CH114:CK117">MMULT(BX114:CA117,AQ114:AT117)</f>
        <v>-0.68043672855037629</v>
      </c>
      <c r="CI114">
        <v>0.13448405934451327</v>
      </c>
      <c r="CJ114">
        <v>0.62554129077807485</v>
      </c>
      <c r="CK114">
        <v>-1.7323612507200714E-3</v>
      </c>
      <c r="CM114">
        <f t="array" ref="CM114:CP117">TRANSPOSE(BX114:CA117)</f>
        <v>-0.69687380846648883</v>
      </c>
      <c r="CN114">
        <v>-0.20612271087167938</v>
      </c>
      <c r="CO114">
        <v>0.68693545776610032</v>
      </c>
      <c r="CP114">
        <v>0</v>
      </c>
      <c r="CR114" s="5">
        <f t="array" ref="CR114:CU117">MMULT(CH114:CK117,CM114:CP117)</f>
        <v>0.89357355831577023</v>
      </c>
      <c r="CS114" s="5">
        <v>0.27184963201790935</v>
      </c>
      <c r="CT114" s="5">
        <v>-2.4665151605705593E-3</v>
      </c>
      <c r="CU114" s="5">
        <v>-1.7323612507200714E-3</v>
      </c>
      <c r="CW114" s="3">
        <f>SQRT(CR114+CS115)</f>
        <v>1.1918736878589047</v>
      </c>
      <c r="CX114" s="3">
        <f>CT116</f>
        <v>4.2516501553500552</v>
      </c>
      <c r="CY114" s="3">
        <f>CU117</f>
        <v>2.0526424392929141</v>
      </c>
      <c r="CZ114" s="3">
        <f>BD121</f>
        <v>4.8479715974998721</v>
      </c>
      <c r="DA114">
        <v>6</v>
      </c>
      <c r="DB114" s="6">
        <f>CY114*DA114*CZ114</f>
        <v>59.706913473089422</v>
      </c>
      <c r="DC114">
        <v>5.33</v>
      </c>
      <c r="DD114" s="6">
        <f>CZ114*DC114*SQRT(0.5*(CR114+CS115)+SQRT((0.5*(CR114-CS115))^2+CS114^2))</f>
        <v>26.327975650353991</v>
      </c>
    </row>
    <row r="115" spans="1:108">
      <c r="A115">
        <v>32</v>
      </c>
      <c r="B115">
        <f t="shared" si="19"/>
        <v>0.51666666666666661</v>
      </c>
      <c r="C115">
        <v>23</v>
      </c>
      <c r="D115">
        <v>21193915.199000001</v>
      </c>
      <c r="E115">
        <v>111374771.87049</v>
      </c>
      <c r="F115">
        <v>-2006.4960000000001</v>
      </c>
      <c r="G115">
        <v>21193911.568</v>
      </c>
      <c r="H115">
        <v>86785522.753470004</v>
      </c>
      <c r="J115" s="5">
        <f>'sv23'!$AA$3+'sv23'!$Z$3*($B115)+'sv23'!$Y$3*($B115)^2+'sv23'!$X$3*($B115)^3+'sv23'!$W$3*($B115)^4+'sv23'!$V$3*($B115)^5+'sv23'!$U$3*($B115)^6+'sv23'!$T$3*($B115)^7+'sv23'!$S$3*($B115)^8</f>
        <v>8136.6476931949337</v>
      </c>
      <c r="K115" s="5">
        <f>'sv23'!$AA$4+'sv23'!$Z$4*($B115)+'sv23'!$Y$4*($B115)^2+'sv23'!$X$4*($B115)^3+'sv23'!$W$4*($B115)^4+'sv23'!$V$4*($B115)^5+'sv23'!$U$4*($B115)^6+'sv23'!$T$4*($B115)^7+'sv23'!$S$4*($B115)^8</f>
        <v>13533.078498621946</v>
      </c>
      <c r="L115" s="5">
        <f>'sv23'!$AA$5+'sv23'!$Z$5*($B115)+'sv23'!$Y$5*($B115)^2+'sv23'!$X$5*($B115)^3+'sv23'!$W$5*($B115)^4+'sv23'!$V$5*($B115)^5+'sv23'!$U$5*($B115)^6+'sv23'!$T$5*($B115)^7+'sv23'!$S$5*($B115)^8</f>
        <v>21279.005704042047</v>
      </c>
      <c r="M115" s="5">
        <f>'sv23'!$AA$6+'sv23'!$Z$6*$B115+'sv23'!$Y$6*$B115^2+'sv23'!$X$6*$B115^3+'sv23'!$W$6*$B115^4+'sv23'!$V$6*$B115^5+'sv23'!$U$6*$B115^6+'sv23'!$T$6*$B115^7+'sv23'!$S$6*$B115^8</f>
        <v>370.05626185853225</v>
      </c>
      <c r="O115">
        <f>SQRT(($J115*1000-coord!$B$2)^2+($K115*1000-coord!$C$2)^2+($L115*1000-coord!$D$2)^2)/coord!$B$6</f>
        <v>7.1065462954669867E-2</v>
      </c>
      <c r="Q115" s="5">
        <f>'sv23'!$AA$3+'sv23'!$Z$3*($B115-$O115/3600)+'sv23'!$Y$3*($B115-$O115/3600)^2+'sv23'!$X$3*($B115-$O115/3600)^3+'sv23'!$W$3*($B115-$O115/3600)^4+'sv23'!$V$3*($B115-$O115/3600)^5+'sv23'!$U$3*($B115-$O115/3600)^6+'sv23'!$T$3*($B115-$O115/3600)^7+'sv23'!$S$3*($B115-$O115/3600)^8+K115*coord!$B$7*O115</f>
        <v>8136.8381861167609</v>
      </c>
      <c r="R115" s="5">
        <f>'sv23'!$AA$4+'sv23'!$Z$4*($B115-$O115/3600)+'sv23'!$Y$4*($B115-$O115/3600)^2+'sv23'!$X$4*($B115-$O115/3600)^3+'sv23'!$W$4*($B115-$O115/3600)^4+'sv23'!$V$4*($B115-$O115/3600)^5+'sv23'!$U$4*($B115-$O115/3600)^6+'sv23'!$T$4*($B115-$O115/3600)^7+'sv23'!$S$4*($B115-$O115/3600)^8-J115*coord!$B$7*O115</f>
        <v>13532.885722705236</v>
      </c>
      <c r="S115" s="5">
        <f>'sv23'!$AA$5+'sv23'!$Z$5*($B115-$O115/3600)+'sv23'!$Y$5*($B115-$O115/3600)^2+'sv23'!$X$5*($B115-$O115/3600)^3+'sv23'!$W$5*($B115-$O115/3600)^4+'sv23'!$V$5*($B115-$O115/3600)^5+'sv23'!$U$5*($B115-$O115/3600)^6+'sv23'!$T$5*($B115-$O115/3600)^7+'sv23'!$S$5*($B115-$O115/3600)^8</f>
        <v>21279.057602777582</v>
      </c>
      <c r="T115">
        <f>coord!$B$6*M115/10^6</f>
        <v>110940.07634086104</v>
      </c>
      <c r="U115">
        <f>SQRT(($Q115*1000+coord!$B$7*$O115*$R115*1000-coord!$B$2)^2+($R115*1000-coord!$B$7*$O115*$Q115*1000-coord!$C$2)^2+($S115*1000-coord!$D$2)^2)</f>
        <v>21304837.451437097</v>
      </c>
      <c r="V115" s="3">
        <f>$D115-(U115-$T115)-coord!$E$2</f>
        <v>17.823903765529394</v>
      </c>
      <c r="W115" s="3"/>
      <c r="Y115">
        <f>-(Q115*1000-coord!$B$2)/$U115</f>
        <v>-0.17592061069979884</v>
      </c>
      <c r="Z115">
        <f>-(R115*1000-coord!$C$2)/$U115</f>
        <v>-0.59180529014807171</v>
      </c>
      <c r="AA115">
        <f>-(S115*1000-coord!$D$2)/$U115</f>
        <v>-0.78665088934283744</v>
      </c>
      <c r="AB115">
        <v>1</v>
      </c>
      <c r="AD115">
        <v>0.67774370790838334</v>
      </c>
      <c r="AE115">
        <v>-0.59180529014807171</v>
      </c>
      <c r="AF115">
        <v>0.74644015253934981</v>
      </c>
      <c r="AG115">
        <v>0.37032262559232554</v>
      </c>
      <c r="AH115">
        <v>-0.90665034878231898</v>
      </c>
      <c r="AI115">
        <v>-0.22780745216222104</v>
      </c>
      <c r="AJ115">
        <v>-0.25529578937203506</v>
      </c>
      <c r="AL115">
        <v>0.29409082469621228</v>
      </c>
      <c r="AM115">
        <v>2.4429688136840424</v>
      </c>
      <c r="AN115">
        <v>-0.44049522535386437</v>
      </c>
      <c r="AO115">
        <v>-0.18705239442458821</v>
      </c>
      <c r="AQ115">
        <v>0.13379873734412692</v>
      </c>
      <c r="AR115">
        <v>0.49199778935812444</v>
      </c>
      <c r="AS115">
        <v>0.42726877939342639</v>
      </c>
      <c r="AT115">
        <v>0.28374071184667005</v>
      </c>
      <c r="AV115">
        <v>-187.70258440140617</v>
      </c>
      <c r="AX115">
        <v>-69.716803143746262</v>
      </c>
      <c r="BA115">
        <f>SQRT(($Q115*1000+coord!$B$7*$O115*$R115*1000-coord!$B$2-AX$114)^2+($R115*1000-coord!$B$7*$O115*$Q115*1000-coord!$C$2-AX$115)^2+($S115*1000-coord!$D$2-AX$116)^2)</f>
        <v>21304849.126074959</v>
      </c>
      <c r="BB115" s="3">
        <f t="shared" ref="BB115:BB120" si="24">$D115-(BA115-$T115)-AX$117</f>
        <v>-2.7794351656799279</v>
      </c>
      <c r="BD115" s="1"/>
      <c r="BE115" s="1"/>
      <c r="BF115" s="1"/>
      <c r="BS115">
        <f>-SIN(RADIANS(BH114))*SIN(RADIANS(BI114))</f>
        <v>-0.1467937452661727</v>
      </c>
      <c r="BT115">
        <f>COS(RADIANS(BI114))</f>
        <v>0.97852615093461359</v>
      </c>
      <c r="BU115">
        <f>COS(RADIANS(BH114))*SIN(RADIANS(BI114))</f>
        <v>0.14470027051743864</v>
      </c>
      <c r="BW115" t="s">
        <v>94</v>
      </c>
      <c r="BX115">
        <v>-0.20612271087167938</v>
      </c>
      <c r="BY115">
        <v>0.97852615093461348</v>
      </c>
      <c r="BZ115">
        <v>0</v>
      </c>
      <c r="CA115">
        <v>0</v>
      </c>
      <c r="CB115" s="1">
        <v>-68.66574049611711</v>
      </c>
      <c r="CD115" s="1"/>
      <c r="CE115" s="1"/>
      <c r="CF115" s="1"/>
      <c r="CH115">
        <v>-0.40209820314235095</v>
      </c>
      <c r="CI115">
        <v>0.45385374463636502</v>
      </c>
      <c r="CJ115">
        <v>8.2991396300800879E-2</v>
      </c>
      <c r="CK115">
        <v>-0.13144078094716433</v>
      </c>
      <c r="CM115">
        <v>-0.1467937452661727</v>
      </c>
      <c r="CN115">
        <v>0.97852615093461348</v>
      </c>
      <c r="CO115">
        <v>0.14470027051743867</v>
      </c>
      <c r="CP115">
        <v>0</v>
      </c>
      <c r="CR115" s="5">
        <v>0.27184963201790935</v>
      </c>
      <c r="CS115" s="5">
        <v>0.52698932949461585</v>
      </c>
      <c r="CT115" s="5">
        <v>-0.15143903896042543</v>
      </c>
      <c r="CU115" s="5">
        <v>-0.13144078094716433</v>
      </c>
    </row>
    <row r="116" spans="1:108">
      <c r="A116">
        <v>32</v>
      </c>
      <c r="B116">
        <f t="shared" si="19"/>
        <v>0.51666666666666661</v>
      </c>
      <c r="C116">
        <v>10</v>
      </c>
      <c r="D116">
        <v>22788103.475000001</v>
      </c>
      <c r="E116">
        <v>119752296.33648001</v>
      </c>
      <c r="F116">
        <v>2991.8429999999998</v>
      </c>
      <c r="G116">
        <v>22788103.364999998</v>
      </c>
      <c r="H116">
        <v>93313481.445449993</v>
      </c>
      <c r="J116" s="5">
        <f>'sv10'!$AA$3+'sv10'!$Z$3*($B116)+'sv10'!$Y$3*($B116)^2+'sv10'!$X$3*($B116)^3+'sv10'!$W$3*($B116)^4+'sv10'!$V$3*($B116)^5+'sv10'!$U$3*($B116)^6+'sv10'!$T$3*($B116)^7+'sv10'!$S$3*($B116)^8</f>
        <v>8170.4207426318735</v>
      </c>
      <c r="K116" s="5">
        <f>'sv10'!$AA$4+'sv10'!$Z$4*($B116)+'sv10'!$Y$4*($B116)^2+'sv10'!$X$4*($B116)^3+'sv10'!$W$4*($B116)^4+'sv10'!$V$4*($B116)^5+'sv10'!$U$4*($B116)^6+'sv10'!$T$4*($B116)^7+'sv10'!$S$4*($B116)^8</f>
        <v>-16075.593216913609</v>
      </c>
      <c r="L116" s="5">
        <f>'sv10'!$AA$5+'sv10'!$Z$5*($B116)+'sv10'!$Y$5*($B116)^2+'sv10'!$X$5*($B116)^3+'sv10'!$W$5*($B116)^4+'sv10'!$V$5*($B116)^5+'sv10'!$U$5*($B116)^6+'sv10'!$T$5*($B116)^7+'sv10'!$S$5*($B116)^8</f>
        <v>19196.229974696373</v>
      </c>
      <c r="M116" s="5">
        <f>'sv10'!$AA$6+'sv10'!$Z$6*$B116+'sv10'!$Y$6*$B116^2+'sv10'!$X$6*$B116^3+'sv10'!$W$6*$B116^4+'sv10'!$V$6*$B116^5+'sv10'!$U$6*$B116^6+'sv10'!$T$6*$B116^7+'sv10'!$S$6*$B116^8</f>
        <v>-43.001655879180603</v>
      </c>
      <c r="O116">
        <f>SQRT(($J116*1000-coord!$B$2)^2+($K116*1000-coord!$C$2)^2+($L116*1000-coord!$D$2)^2)/coord!$B$6</f>
        <v>7.5969867652827178E-2</v>
      </c>
      <c r="Q116" s="5">
        <f>'sv10'!$AA$3+'sv10'!$Z$3*($B116-$O116/3600)+'sv10'!$Y$3*($B116-$O116/3600)^2+'sv10'!$X$3*($B116-$O116/3600)^3+'sv10'!$W$3*($B116-$O116/3600)^4+'sv10'!$V$3*($B116-$O116/3600)^5+'sv10'!$U$3*($B116-$O116/3600)^6+'sv10'!$T$3*($B116-$O116/3600)^7+'sv10'!$S$3*($B116-$O116/3600)^8+K116*coord!$B$7*O116</f>
        <v>8170.2491779434695</v>
      </c>
      <c r="R116" s="5">
        <f>'sv10'!$AA$4+'sv10'!$Z$4*($B116-$O116/3600)+'sv10'!$Y$4*($B116-$O116/3600)^2+'sv10'!$X$4*($B116-$O116/3600)^3+'sv10'!$W$4*($B116-$O116/3600)^4+'sv10'!$V$4*($B116-$O116/3600)^5+'sv10'!$U$4*($B116-$O116/3600)^6+'sv10'!$T$4*($B116-$O116/3600)^7+'sv10'!$S$4*($B116-$O116/3600)^8-J116*coord!$B$7*O116</f>
        <v>-16075.809224291135</v>
      </c>
      <c r="S116" s="5">
        <f>'sv10'!$AA$5+'sv10'!$Z$5*($B116-$O116/3600)+'sv10'!$Y$5*($B116-$O116/3600)^2+'sv10'!$X$5*($B116-$O116/3600)^3+'sv10'!$W$5*($B116-$O116/3600)^4+'sv10'!$V$5*($B116-$O116/3600)^5+'sv10'!$U$5*($B116-$O116/3600)^6+'sv10'!$T$5*($B116-$O116/3600)^7+'sv10'!$S$5*($B116-$O116/3600)^8</f>
        <v>19196.120542351153</v>
      </c>
      <c r="T116">
        <f>coord!$B$6*M116/10^6</f>
        <v>-12891.572114089704</v>
      </c>
      <c r="U116">
        <f>SQRT(($Q116*1000+coord!$B$7*$O116*$R116*1000-coord!$B$2)^2+($R116*1000-coord!$B$7*$O116*$Q116*1000-coord!$C$2)^2+($S116*1000-coord!$D$2)^2)</f>
        <v>22775274.587864473</v>
      </c>
      <c r="V116" s="3">
        <f>$D116-(U116-$T116)-coord!$E$2</f>
        <v>-62.684978563338518</v>
      </c>
      <c r="W116" s="3"/>
      <c r="Y116">
        <f>-(Q116*1000-coord!$B$2)/$U116</f>
        <v>-0.16602965608846385</v>
      </c>
      <c r="Z116">
        <f>-(R116*1000-coord!$C$2)/$U116</f>
        <v>0.74644015253934981</v>
      </c>
      <c r="AA116">
        <f>-(S116*1000-coord!$D$2)/$U116</f>
        <v>-0.64440638076308265</v>
      </c>
      <c r="AB116">
        <v>1</v>
      </c>
      <c r="AD116">
        <v>-0.71645869613935742</v>
      </c>
      <c r="AE116">
        <v>-0.78665088934283744</v>
      </c>
      <c r="AF116">
        <v>-0.64440638076308265</v>
      </c>
      <c r="AG116">
        <v>-0.39836437049592682</v>
      </c>
      <c r="AH116">
        <v>-9.2881339003568868E-3</v>
      </c>
      <c r="AI116">
        <v>-0.85155476127925667</v>
      </c>
      <c r="AJ116">
        <v>-2.216455087900766E-2</v>
      </c>
      <c r="AL116">
        <v>1.1255821137113786</v>
      </c>
      <c r="AM116">
        <v>-0.44049522535386437</v>
      </c>
      <c r="AN116">
        <v>2.4318094884307673</v>
      </c>
      <c r="AO116">
        <v>-3.4288877827998259</v>
      </c>
      <c r="AQ116">
        <v>1.6257416584346953</v>
      </c>
      <c r="AR116">
        <v>0.42726877939342645</v>
      </c>
      <c r="AS116">
        <v>2.594261651981884</v>
      </c>
      <c r="AT116">
        <v>2.0270263759026523</v>
      </c>
      <c r="AV116">
        <v>92.808015375044619</v>
      </c>
      <c r="AX116">
        <v>37.123788989090528</v>
      </c>
      <c r="BA116">
        <f>SQRT(($Q116*1000+coord!$B$7*$O116*$R116*1000-coord!$B$2-AX$114)^2+($R116*1000-coord!$B$7*$O116*$Q116*1000-coord!$C$2-AX$115)^2+($S116*1000-coord!$D$2-AX$116)^2)</f>
        <v>22775198.26624712</v>
      </c>
      <c r="BB116" s="3">
        <f t="shared" si="24"/>
        <v>4.7079377207095661</v>
      </c>
      <c r="BD116" s="1"/>
      <c r="BE116" s="1"/>
      <c r="BF116" s="1"/>
      <c r="BS116">
        <f>COS(RADIANS(BH114))</f>
        <v>0.70201032145128861</v>
      </c>
      <c r="BT116">
        <v>0</v>
      </c>
      <c r="BU116">
        <f>SIN(RADIANS(BH114))</f>
        <v>0.71216677019912855</v>
      </c>
      <c r="BW116" t="s">
        <v>95</v>
      </c>
      <c r="BX116">
        <v>0.68693545776610032</v>
      </c>
      <c r="BY116">
        <v>0.14470027051743867</v>
      </c>
      <c r="BZ116">
        <v>0.71216677019912866</v>
      </c>
      <c r="CA116">
        <v>0</v>
      </c>
      <c r="CB116" s="1">
        <v>17.836736687979307</v>
      </c>
      <c r="CD116" s="1"/>
      <c r="CE116" s="1"/>
      <c r="CF116" s="1"/>
      <c r="CH116">
        <v>2.9535431207826131</v>
      </c>
      <c r="CI116">
        <v>0.46738993672765694</v>
      </c>
      <c r="CJ116">
        <v>3.0261524400515354</v>
      </c>
      <c r="CK116">
        <v>2.8479881345966538</v>
      </c>
      <c r="CM116">
        <v>0.70201032145128861</v>
      </c>
      <c r="CN116">
        <v>0</v>
      </c>
      <c r="CO116">
        <v>0.71216677019912866</v>
      </c>
      <c r="CP116">
        <v>0</v>
      </c>
      <c r="CR116" s="5">
        <v>-2.4665151605711699E-3</v>
      </c>
      <c r="CS116" s="5">
        <v>-0.15143903896042549</v>
      </c>
      <c r="CT116" s="5">
        <v>4.2516501553500552</v>
      </c>
      <c r="CU116" s="5">
        <v>2.8479881345966538</v>
      </c>
    </row>
    <row r="117" spans="1:108">
      <c r="A117">
        <v>32</v>
      </c>
      <c r="B117">
        <f t="shared" si="19"/>
        <v>0.51666666666666661</v>
      </c>
      <c r="C117">
        <v>4</v>
      </c>
      <c r="D117">
        <v>21200376.348999999</v>
      </c>
      <c r="E117">
        <v>111408727.56949</v>
      </c>
      <c r="F117">
        <v>-1114.9100000000001</v>
      </c>
      <c r="G117">
        <v>21200375.721000001</v>
      </c>
      <c r="H117">
        <v>86811992.194470003</v>
      </c>
      <c r="J117" s="5">
        <f>'sv04'!$AA$3+'sv04'!$Z$3*($B117)+'sv04'!$Y$3*($B117)^2+'sv04'!$X$3*($B117)^3+'sv04'!$W$3*($B117)^4+'sv04'!$V$3*($B117)^5+'sv04'!$U$3*($B117)^6+'sv04'!$T$3*($B117)^7+'sv04'!$S$3*($B117)^8</f>
        <v>22201.048751857561</v>
      </c>
      <c r="K117" s="5">
        <f>'sv04'!$AA$4+'sv04'!$Z$4*($B117)+'sv04'!$Y$4*($B117)^2+'sv04'!$X$4*($B117)^3+'sv04'!$W$4*($B117)^4+'sv04'!$V$4*($B117)^5+'sv04'!$U$4*($B117)^6+'sv04'!$T$4*($B117)^7+'sv04'!$S$4*($B117)^8</f>
        <v>-6935.8876779006496</v>
      </c>
      <c r="L117" s="5">
        <f>'sv04'!$AA$5+'sv04'!$Z$5*($B117)+'sv04'!$Y$5*($B117)^2+'sv04'!$X$5*($B117)^3+'sv04'!$W$5*($B117)^4+'sv04'!$V$5*($B117)^5+'sv04'!$U$5*($B117)^6+'sv04'!$T$5*($B117)^7+'sv04'!$S$5*($B117)^8</f>
        <v>12975.242354018863</v>
      </c>
      <c r="M117" s="5">
        <f>'sv04'!$AA$6+'sv04'!$Z$6*$B117+'sv04'!$Y$6*$B117^2+'sv04'!$X$6*$B117^3+'sv04'!$W$6*$B117^4+'sv04'!$V$6*$B117^5+'sv04'!$U$6*$B117^6+'sv04'!$T$6*$B117^7+'sv04'!$S$6*$B117^8</f>
        <v>86.60274624622312</v>
      </c>
      <c r="O117">
        <f>SQRT(($J117*1000-coord!$B$2)^2+($K117*1000-coord!$C$2)^2+($L117*1000-coord!$D$2)^2)/coord!$B$6</f>
        <v>7.080351144498466E-2</v>
      </c>
      <c r="Q117" s="5">
        <f>'sv04'!$AA$3+'sv04'!$Z$3*($B117-$O117/3600)+'sv04'!$Y$3*($B117-$O117/3600)^2+'sv04'!$X$3*($B117-$O117/3600)^3+'sv04'!$W$3*($B117-$O117/3600)^4+'sv04'!$V$3*($B117-$O117/3600)^5+'sv04'!$U$3*($B117-$O117/3600)^6+'sv04'!$T$3*($B117-$O117/3600)^7+'sv04'!$S$3*($B117-$O117/3600)^8+K117*coord!$B$7*O117</f>
        <v>22200.897910822463</v>
      </c>
      <c r="R117" s="5">
        <f>'sv04'!$AA$4+'sv04'!$Z$4*($B117-$O117/3600)+'sv04'!$Y$4*($B117-$O117/3600)^2+'sv04'!$X$4*($B117-$O117/3600)^3+'sv04'!$W$4*($B117-$O117/3600)^4+'sv04'!$V$4*($B117-$O117/3600)^5+'sv04'!$U$4*($B117-$O117/3600)^6+'sv04'!$T$4*($B117-$O117/3600)^7+'sv04'!$S$4*($B117-$O117/3600)^8-J117*coord!$B$7*O117</f>
        <v>-6936.0343013632701</v>
      </c>
      <c r="S117" s="5">
        <f>'sv04'!$AA$5+'sv04'!$Z$5*($B117-$O117/3600)+'sv04'!$Y$5*($B117-$O117/3600)^2+'sv04'!$X$5*($B117-$O117/3600)^3+'sv04'!$W$5*($B117-$O117/3600)^4+'sv04'!$V$5*($B117-$O117/3600)^5+'sv04'!$U$5*($B117-$O117/3600)^6+'sv04'!$T$5*($B117-$O117/3600)^7+'sv04'!$S$5*($B117-$O117/3600)^8</f>
        <v>12975.417199558979</v>
      </c>
      <c r="T117">
        <f>coord!$B$6*M117/10^6</f>
        <v>25962.850166705502</v>
      </c>
      <c r="U117">
        <f>SQRT(($Q117*1000+coord!$B$7*$O117*$R117*1000-coord!$B$2)^2+($R117*1000-coord!$B$7*$O117*$Q117*1000-coord!$C$2)^2+($S117*1000-coord!$D$2)^2)</f>
        <v>21226368.499603149</v>
      </c>
      <c r="V117" s="3">
        <f>$D117-(U117-$T117)-coord!$E$2</f>
        <v>-29.300436444580555</v>
      </c>
      <c r="W117" s="3"/>
      <c r="Y117">
        <f>-(Q117*1000-coord!$B$2)/$U117</f>
        <v>-0.83914588311964333</v>
      </c>
      <c r="Z117">
        <f>-(R117*1000-coord!$C$2)/$U117</f>
        <v>0.37032262559232554</v>
      </c>
      <c r="AA117">
        <f>-(S117*1000-coord!$D$2)/$U117</f>
        <v>-0.39836437049592682</v>
      </c>
      <c r="AB117">
        <v>1</v>
      </c>
      <c r="AD117">
        <v>1</v>
      </c>
      <c r="AE117">
        <v>1</v>
      </c>
      <c r="AF117">
        <v>1</v>
      </c>
      <c r="AG117">
        <v>1</v>
      </c>
      <c r="AH117">
        <v>1</v>
      </c>
      <c r="AI117">
        <v>1</v>
      </c>
      <c r="AJ117">
        <v>1</v>
      </c>
      <c r="AL117">
        <v>-3.2070476094113172</v>
      </c>
      <c r="AM117">
        <v>-0.18705239442458821</v>
      </c>
      <c r="AN117">
        <v>-3.4288877827998259</v>
      </c>
      <c r="AO117">
        <v>7</v>
      </c>
      <c r="AQ117">
        <v>1.9846842002219227</v>
      </c>
      <c r="AR117">
        <v>0.28374071184666999</v>
      </c>
      <c r="AS117">
        <v>2.0270263759026523</v>
      </c>
      <c r="AT117">
        <v>2.0526424392929141</v>
      </c>
      <c r="AV117">
        <v>-58.691380344331264</v>
      </c>
      <c r="AX117">
        <v>8.9287010696594677</v>
      </c>
      <c r="BA117">
        <f>SQRT(($Q117*1000+coord!$B$7*$O117*$R117*1000-coord!$B$2-AX$114)^2+($R117*1000-coord!$B$7*$O117*$Q117*1000-coord!$C$2-AX$115)^2+($S117*1000-coord!$D$2-AX$116)^2)</f>
        <v>21226326.077016942</v>
      </c>
      <c r="BB117" s="3">
        <f t="shared" si="24"/>
        <v>4.1934486921067275</v>
      </c>
      <c r="BD117" s="1"/>
      <c r="BE117" s="1"/>
      <c r="BF117" s="1"/>
      <c r="BX117">
        <v>0</v>
      </c>
      <c r="BY117">
        <v>0</v>
      </c>
      <c r="BZ117">
        <v>0</v>
      </c>
      <c r="CA117">
        <v>1</v>
      </c>
      <c r="CD117" s="1"/>
      <c r="CE117" s="1"/>
      <c r="CF117" s="1"/>
      <c r="CH117">
        <v>1.9846842002219227</v>
      </c>
      <c r="CI117">
        <v>0.28374071184666999</v>
      </c>
      <c r="CJ117">
        <v>2.0270263759026523</v>
      </c>
      <c r="CK117">
        <v>2.0526424392929141</v>
      </c>
      <c r="CM117">
        <v>0</v>
      </c>
      <c r="CN117">
        <v>0</v>
      </c>
      <c r="CO117">
        <v>0</v>
      </c>
      <c r="CP117">
        <v>1</v>
      </c>
      <c r="CR117" s="5">
        <v>-1.7323612507198494E-3</v>
      </c>
      <c r="CS117" s="5">
        <v>-0.13144078094716433</v>
      </c>
      <c r="CT117" s="5">
        <v>2.8479881345966538</v>
      </c>
      <c r="CU117" s="5">
        <v>2.0526424392929141</v>
      </c>
    </row>
    <row r="118" spans="1:108">
      <c r="A118">
        <v>32</v>
      </c>
      <c r="B118">
        <f t="shared" si="19"/>
        <v>0.51666666666666661</v>
      </c>
      <c r="C118">
        <v>20</v>
      </c>
      <c r="D118">
        <v>23183934.048999999</v>
      </c>
      <c r="E118">
        <v>121832391.07247999</v>
      </c>
      <c r="F118">
        <v>-3114.27</v>
      </c>
      <c r="G118">
        <v>23183933.655000001</v>
      </c>
      <c r="H118">
        <v>94934324.596450001</v>
      </c>
      <c r="J118" s="5">
        <f>'sv20'!$AA$3+'sv20'!$Z$3*($B118)+'sv20'!$Y$3*($B118)^2+'sv20'!$X$3*($B118)^3+'sv20'!$W$3*($B118)^4+'sv20'!$V$3*($B118)^5+'sv20'!$U$3*($B118)^6+'sv20'!$T$3*($B118)^7+'sv20'!$S$3*($B118)^8</f>
        <v>14174.358854067617</v>
      </c>
      <c r="K118" s="5">
        <f>'sv20'!$AA$4+'sv20'!$Z$4*($B118)+'sv20'!$Y$4*($B118)^2+'sv20'!$X$4*($B118)^3+'sv20'!$W$4*($B118)^4+'sv20'!$V$4*($B118)^5+'sv20'!$U$4*($B118)^6+'sv20'!$T$4*($B118)^7+'sv20'!$S$4*($B118)^8</f>
        <v>21959.531113155415</v>
      </c>
      <c r="L118" s="5">
        <f>'sv20'!$AA$5+'sv20'!$Z$5*($B118)+'sv20'!$Y$5*($B118)^2+'sv20'!$X$5*($B118)^3+'sv20'!$W$5*($B118)^4+'sv20'!$V$5*($B118)^5+'sv20'!$U$5*($B118)^6+'sv20'!$T$5*($B118)^7+'sv20'!$S$5*($B118)^8</f>
        <v>4734.8430358184814</v>
      </c>
      <c r="M118" s="5">
        <f>'sv20'!$AA$6+'sv20'!$Z$6*$B118+'sv20'!$Y$6*$B118^2+'sv20'!$X$6*$B118^3+'sv20'!$W$6*$B118^4+'sv20'!$V$6*$B118^5+'sv20'!$U$6*$B118^6+'sv20'!$T$6*$B118^7+'sv20'!$S$6*$B118^8</f>
        <v>55.817709281532444</v>
      </c>
      <c r="O118">
        <f>SQRT(($J118*1000-coord!$B$2)^2+($K118*1000-coord!$C$2)^2+($L118*1000-coord!$D$2)^2)/coord!$B$6</f>
        <v>7.7389137920346698E-2</v>
      </c>
      <c r="Q118" s="5">
        <f>'sv20'!$AA$3+'sv20'!$Z$3*($B118-$O118/3600)+'sv20'!$Y$3*($B118-$O118/3600)^2+'sv20'!$X$3*($B118-$O118/3600)^3+'sv20'!$W$3*($B118-$O118/3600)^4+'sv20'!$V$3*($B118-$O118/3600)^5+'sv20'!$U$3*($B118-$O118/3600)^6+'sv20'!$T$3*($B118-$O118/3600)^7+'sv20'!$S$3*($B118-$O118/3600)^8+K118*coord!$B$7*O118</f>
        <v>14174.486476778096</v>
      </c>
      <c r="R118" s="5">
        <f>'sv20'!$AA$4+'sv20'!$Z$4*($B118-$O118/3600)+'sv20'!$Y$4*($B118-$O118/3600)^2+'sv20'!$X$4*($B118-$O118/3600)^3+'sv20'!$W$4*($B118-$O118/3600)^4+'sv20'!$V$4*($B118-$O118/3600)^5+'sv20'!$U$4*($B118-$O118/3600)^6+'sv20'!$T$4*($B118-$O118/3600)^7+'sv20'!$S$4*($B118-$O118/3600)^8-J118*coord!$B$7*O118</f>
        <v>21959.396419039178</v>
      </c>
      <c r="S118" s="5">
        <f>'sv20'!$AA$5+'sv20'!$Z$5*($B118-$O118/3600)+'sv20'!$Y$5*($B118-$O118/3600)^2+'sv20'!$X$5*($B118-$O118/3600)^3+'sv20'!$W$5*($B118-$O118/3600)^4+'sv20'!$V$5*($B118-$O118/3600)^5+'sv20'!$U$5*($B118-$O118/3600)^6+'sv20'!$T$5*($B118-$O118/3600)^7+'sv20'!$S$5*($B118-$O118/3600)^8</f>
        <v>4735.0784934710055</v>
      </c>
      <c r="T118">
        <f>coord!$B$6*M118/10^6</f>
        <v>16733.728265440026</v>
      </c>
      <c r="U118">
        <f>SQRT(($Q118*1000+coord!$B$7*$O118*$R118*1000-coord!$B$2)^2+($R118*1000-coord!$B$7*$O118*$Q118*1000-coord!$C$2)^2+($S118*1000-coord!$D$2)^2)</f>
        <v>23200593.51886877</v>
      </c>
      <c r="V118" s="3">
        <f>$D118-(U118-$T118)-coord!$E$2</f>
        <v>74.258396666496992</v>
      </c>
      <c r="W118" s="3"/>
      <c r="Y118">
        <f>-(Q118*1000-coord!$B$2)/$U118</f>
        <v>-0.42178267112087348</v>
      </c>
      <c r="Z118">
        <f>-(R118*1000-coord!$C$2)/$U118</f>
        <v>-0.90665034878231898</v>
      </c>
      <c r="AA118">
        <f>-(S118*1000-coord!$D$2)/$U118</f>
        <v>-9.2881339003568868E-3</v>
      </c>
      <c r="AB118">
        <v>1</v>
      </c>
      <c r="BA118">
        <f>SQRT(($Q118*1000+coord!$B$7*$O118*$R118*1000-coord!$B$2-AX$114)^2+($R118*1000-coord!$B$7*$O118*$Q118*1000-coord!$C$2-AX$115)^2+($S118*1000-coord!$D$2-AX$116)^2)</f>
        <v>23200655.469933432</v>
      </c>
      <c r="BB118" s="3">
        <f t="shared" si="24"/>
        <v>3.3786309356923141</v>
      </c>
      <c r="BD118" s="1"/>
      <c r="BE118" s="1"/>
      <c r="BF118" s="1"/>
      <c r="CD118" s="1"/>
      <c r="CE118" s="1"/>
      <c r="CF118" s="1"/>
    </row>
    <row r="119" spans="1:108">
      <c r="A119">
        <v>32</v>
      </c>
      <c r="B119">
        <f t="shared" si="19"/>
        <v>0.51666666666666661</v>
      </c>
      <c r="C119">
        <v>13</v>
      </c>
      <c r="D119">
        <v>20169379.884</v>
      </c>
      <c r="E119">
        <v>105990805.91948999</v>
      </c>
      <c r="F119">
        <v>-786.37800000000004</v>
      </c>
      <c r="G119">
        <v>20169378.120999999</v>
      </c>
      <c r="H119">
        <v>82590230.370480001</v>
      </c>
      <c r="J119" s="5">
        <f>'sv13'!$AA$3+'sv13'!$Z$3*($B119)+'sv13'!$Y$3*($B119)^2+'sv13'!$X$3*($B119)^3+'sv13'!$W$3*($B119)^4+'sv13'!$V$3*($B119)^5+'sv13'!$U$3*($B119)^6+'sv13'!$T$3*($B119)^7+'sv13'!$S$3*($B119)^8</f>
        <v>13955.472460503064</v>
      </c>
      <c r="K119" s="5">
        <f>'sv13'!$AA$4+'sv13'!$Z$4*($B119)+'sv13'!$Y$4*($B119)^2+'sv13'!$X$4*($B119)^3+'sv13'!$W$4*($B119)^4+'sv13'!$V$4*($B119)^5+'sv13'!$U$4*($B119)^6+'sv13'!$T$4*($B119)^7+'sv13'!$S$4*($B119)^8</f>
        <v>5540.296517515887</v>
      </c>
      <c r="L119" s="5">
        <f>'sv13'!$AA$5+'sv13'!$Z$5*($B119)+'sv13'!$Y$5*($B119)^2+'sv13'!$X$5*($B119)^3+'sv13'!$W$5*($B119)^4+'sv13'!$V$5*($B119)^5+'sv13'!$U$5*($B119)^6+'sv13'!$T$5*($B119)^7+'sv13'!$S$5*($B119)^8</f>
        <v>21772.628371929753</v>
      </c>
      <c r="M119" s="5">
        <f>'sv13'!$AA$6+'sv13'!$Z$6*$B119+'sv13'!$Y$6*$B119^2+'sv13'!$X$6*$B119^3+'sv13'!$W$6*$B119^4+'sv13'!$V$6*$B119^5+'sv13'!$U$6*$B119^6+'sv13'!$T$6*$B119^7+'sv13'!$S$6*$B119^8</f>
        <v>304.21937829516349</v>
      </c>
      <c r="O119">
        <f>SQRT(($J119*1000-coord!$B$2)^2+($K119*1000-coord!$C$2)^2+($L119*1000-coord!$D$2)^2)/coord!$B$6</f>
        <v>6.7582098256364423E-2</v>
      </c>
      <c r="Q119" s="5">
        <f>'sv13'!$AA$3+'sv13'!$Z$3*($B119-$O119/3600)+'sv13'!$Y$3*($B119-$O119/3600)^2+'sv13'!$X$3*($B119-$O119/3600)^3+'sv13'!$W$3*($B119-$O119/3600)^4+'sv13'!$V$3*($B119-$O119/3600)^5+'sv13'!$U$3*($B119-$O119/3600)^6+'sv13'!$T$3*($B119-$O119/3600)^7+'sv13'!$S$3*($B119-$O119/3600)^8+K119*coord!$B$7*O119</f>
        <v>13955.62061500663</v>
      </c>
      <c r="R119" s="5">
        <f>'sv13'!$AA$4+'sv13'!$Z$4*($B119-$O119/3600)+'sv13'!$Y$4*($B119-$O119/3600)^2+'sv13'!$X$4*($B119-$O119/3600)^3+'sv13'!$W$4*($B119-$O119/3600)^4+'sv13'!$V$4*($B119-$O119/3600)^5+'sv13'!$U$4*($B119-$O119/3600)^6+'sv13'!$T$4*($B119-$O119/3600)^7+'sv13'!$S$4*($B119-$O119/3600)^8-J119*coord!$B$7*O119</f>
        <v>5540.0830734055908</v>
      </c>
      <c r="S119" s="5">
        <f>'sv13'!$AA$5+'sv13'!$Z$5*($B119-$O119/3600)+'sv13'!$Y$5*($B119-$O119/3600)^2+'sv13'!$X$5*($B119-$O119/3600)^3+'sv13'!$W$5*($B119-$O119/3600)^4+'sv13'!$V$5*($B119-$O119/3600)^5+'sv13'!$U$5*($B119-$O119/3600)^6+'sv13'!$T$5*($B119-$O119/3600)^7+'sv13'!$S$5*($B119-$O119/3600)^8</f>
        <v>21772.588185184879</v>
      </c>
      <c r="T119">
        <f>coord!$B$6*M119/10^6</f>
        <v>91202.675190338909</v>
      </c>
      <c r="U119">
        <f>SQRT(($Q119*1000+coord!$B$7*$O119*$R119*1000-coord!$B$2)^2+($R119*1000-coord!$B$7*$O119*$Q119*1000-coord!$C$2)^2+($S119*1000-coord!$D$2)^2)</f>
        <v>20260587.686652575</v>
      </c>
      <c r="V119" s="3">
        <f>$D119-(U119-$T119)-coord!$E$2</f>
        <v>-5.1274622343480587</v>
      </c>
      <c r="W119" s="3"/>
      <c r="Y119">
        <f>-(Q119*1000-coord!$B$2)/$U119</f>
        <v>-0.47218484439664504</v>
      </c>
      <c r="Z119">
        <f>-(R119*1000-coord!$C$2)/$U119</f>
        <v>-0.22780745216222104</v>
      </c>
      <c r="AA119">
        <f>-(S119*1000-coord!$D$2)/$U119</f>
        <v>-0.85155476127925667</v>
      </c>
      <c r="AB119">
        <v>1</v>
      </c>
      <c r="BA119">
        <f>SQRT(($Q119*1000+coord!$B$7*$O119*$R119*1000-coord!$B$2-AX$114)^2+($R119*1000-coord!$B$7*$O119*$Q119*1000-coord!$C$2-AX$115)^2+($S119*1000-coord!$D$2-AX$116)^2)</f>
        <v>20260570.933875345</v>
      </c>
      <c r="BB119" s="3">
        <f t="shared" si="24"/>
        <v>2.696613925987009</v>
      </c>
      <c r="BD119" s="1"/>
      <c r="BE119" s="1"/>
      <c r="BF119" s="1"/>
      <c r="CD119" s="1"/>
      <c r="CE119" s="1"/>
      <c r="CF119" s="1"/>
    </row>
    <row r="120" spans="1:108">
      <c r="A120">
        <v>32</v>
      </c>
      <c r="B120">
        <f t="shared" si="19"/>
        <v>0.51666666666666661</v>
      </c>
      <c r="C120">
        <v>7</v>
      </c>
      <c r="D120">
        <v>21700377.134</v>
      </c>
      <c r="E120">
        <v>114036257.64449</v>
      </c>
      <c r="F120">
        <v>2763.6439999999998</v>
      </c>
      <c r="G120">
        <v>21700376.291999999</v>
      </c>
      <c r="H120">
        <v>88859422.322479993</v>
      </c>
      <c r="J120" s="5">
        <f>'sv07'!$AA$3+'sv07'!$Z$3*($B120)+'sv07'!$Y$3*($B120)^2+'sv07'!$X$3*($B120)^3+'sv07'!$W$3*($B120)^4+'sv07'!$V$3*($B120)^5+'sv07'!$U$3*($B120)^6+'sv07'!$T$3*($B120)^7+'sv07'!$S$3*($B120)^8</f>
        <v>25364.373384361406</v>
      </c>
      <c r="K120" s="5">
        <f>'sv07'!$AA$4+'sv07'!$Z$4*($B120)+'sv07'!$Y$4*($B120)^2+'sv07'!$X$4*($B120)^3+'sv07'!$W$4*($B120)^4+'sv07'!$V$4*($B120)^5+'sv07'!$U$4*($B120)^6+'sv07'!$T$4*($B120)^7+'sv07'!$S$4*($B120)^8</f>
        <v>6464.6764415715106</v>
      </c>
      <c r="L120" s="5">
        <f>'sv07'!$AA$5+'sv07'!$Z$5*($B120)+'sv07'!$Y$5*($B120)^2+'sv07'!$X$5*($B120)^3+'sv07'!$W$5*($B120)^4+'sv07'!$V$5*($B120)^5+'sv07'!$U$5*($B120)^6+'sv07'!$T$5*($B120)^7+'sv07'!$S$5*($B120)^8</f>
        <v>5000.787467840506</v>
      </c>
      <c r="M120" s="5">
        <f>'sv07'!$AA$6+'sv07'!$Z$6*$B120+'sv07'!$Y$6*$B120^2+'sv07'!$X$6*$B120^3+'sv07'!$W$6*$B120^4+'sv07'!$V$6*$B120^5+'sv07'!$U$6*$B120^6+'sv07'!$T$6*$B120^7+'sv07'!$S$6*$B120^8</f>
        <v>-0.63790643140532921</v>
      </c>
      <c r="O120">
        <f>SQRT(($J120*1000-coord!$B$2)^2+($K120*1000-coord!$C$2)^2+($L120*1000-coord!$D$2)^2)/coord!$B$6</f>
        <v>7.238384898736959E-2</v>
      </c>
      <c r="Q120" s="5">
        <f>'sv07'!$AA$3+'sv07'!$Z$3*($B120-$O120/3600)+'sv07'!$Y$3*($B120-$O120/3600)^2+'sv07'!$X$3*($B120-$O120/3600)^3+'sv07'!$W$3*($B120-$O120/3600)^4+'sv07'!$V$3*($B120-$O120/3600)^5+'sv07'!$U$3*($B120-$O120/3600)^6+'sv07'!$T$3*($B120-$O120/3600)^7+'sv07'!$S$3*($B120-$O120/3600)^8+K120*coord!$B$7*O120</f>
        <v>25364.45493189136</v>
      </c>
      <c r="R120" s="5">
        <f>'sv07'!$AA$4+'sv07'!$Z$4*($B120-$O120/3600)+'sv07'!$Y$4*($B120-$O120/3600)^2+'sv07'!$X$4*($B120-$O120/3600)^3+'sv07'!$W$4*($B120-$O120/3600)^4+'sv07'!$V$4*($B120-$O120/3600)^5+'sv07'!$U$4*($B120-$O120/3600)^6+'sv07'!$T$4*($B120-$O120/3600)^7+'sv07'!$S$4*($B120-$O120/3600)^8-J120*coord!$B$7*O120</f>
        <v>6464.5316528443627</v>
      </c>
      <c r="S120" s="5">
        <f>'sv07'!$AA$5+'sv07'!$Z$5*($B120-$O120/3600)+'sv07'!$Y$5*($B120-$O120/3600)^2+'sv07'!$X$5*($B120-$O120/3600)^3+'sv07'!$W$5*($B120-$O120/3600)^4+'sv07'!$V$5*($B120-$O120/3600)^5+'sv07'!$U$5*($B120-$O120/3600)^6+'sv07'!$T$5*($B120-$O120/3600)^7+'sv07'!$S$5*($B120-$O120/3600)^8</f>
        <v>5000.5627451237178</v>
      </c>
      <c r="T120">
        <f>coord!$B$6*M120/10^6</f>
        <v>-191.23953704501201</v>
      </c>
      <c r="U120">
        <f>SQRT(($Q120*1000+coord!$B$7*$O120*$R120*1000-coord!$B$2)^2+($R120*1000-coord!$B$7*$O120*$Q120*1000-coord!$C$2)^2+($S120*1000-coord!$D$2)^2)</f>
        <v>21700167.688904338</v>
      </c>
      <c r="V120" s="3">
        <f>$D120-(U120-$T120)-coord!$E$2</f>
        <v>18.205558616667986</v>
      </c>
      <c r="W120" s="3" t="s">
        <v>127</v>
      </c>
      <c r="X120" s="1" t="s">
        <v>128</v>
      </c>
      <c r="Y120">
        <f>-(Q120*1000-coord!$B$2)/$U120</f>
        <v>-0.96660897103650156</v>
      </c>
      <c r="Z120">
        <f>-(R120*1000-coord!$C$2)/$U120</f>
        <v>-0.25529578937203506</v>
      </c>
      <c r="AA120">
        <f>-(S120*1000-coord!$D$2)/$U120</f>
        <v>-2.216455087900766E-2</v>
      </c>
      <c r="AB120">
        <v>1</v>
      </c>
      <c r="BA120">
        <f>SQRT(($Q120*1000+coord!$B$7*$O120*$R120*1000-coord!$B$2-AX$114)^2+($R120*1000-coord!$B$7*$O120*$Q120*1000-coord!$C$2-AX$115)^2+($S120*1000-coord!$D$2-AX$116)^2)</f>
        <v>21700182.572554879</v>
      </c>
      <c r="BB120" s="3">
        <f t="shared" si="24"/>
        <v>-5.6067929942970238</v>
      </c>
      <c r="BC120" s="3" t="s">
        <v>127</v>
      </c>
      <c r="BD120" s="1" t="s">
        <v>128</v>
      </c>
      <c r="BE120" s="1"/>
      <c r="BF120" s="1"/>
      <c r="CD120" s="1"/>
      <c r="CE120" s="1"/>
      <c r="CF120" s="1"/>
    </row>
    <row r="121" spans="1:108">
      <c r="V121" s="3"/>
      <c r="W121" s="3">
        <f>AVERAGE($V114:$V120)</f>
        <v>-8.3844829063330373</v>
      </c>
      <c r="X121" s="1">
        <f>SQRT(DEVSQ($V114:$V120)/6)</f>
        <v>51.07238898742682</v>
      </c>
      <c r="BB121" s="3"/>
      <c r="BC121" s="3">
        <f>AVERAGE($BB114:$BB120)</f>
        <v>1.5599820651703209E-4</v>
      </c>
      <c r="BD121" s="1">
        <f>SQRT(DEVSQ($BB114:$BB120)/6)</f>
        <v>4.8479715974998721</v>
      </c>
      <c r="BE121" s="1"/>
      <c r="BF121" s="1"/>
      <c r="CD121" s="1"/>
      <c r="CE121" s="1"/>
      <c r="CF121" s="1"/>
    </row>
    <row r="122" spans="1:108">
      <c r="A122">
        <v>34</v>
      </c>
      <c r="B122">
        <f t="shared" si="19"/>
        <v>0.53333333333333333</v>
      </c>
      <c r="C122">
        <v>2</v>
      </c>
      <c r="D122">
        <v>22475166.657000002</v>
      </c>
      <c r="E122">
        <v>118107804.50948</v>
      </c>
      <c r="F122">
        <v>2088.569</v>
      </c>
      <c r="G122">
        <v>22475164.381999999</v>
      </c>
      <c r="H122">
        <v>92032044.936460003</v>
      </c>
      <c r="J122" s="5">
        <f>'sv02'!$AA$3+'sv02'!$Z$3*($B122)+'sv02'!$Y$3*($B122)^2+'sv02'!$X$3*($B122)^3+'sv02'!$W$3*($B122)^4+'sv02'!$V$3*($B122)^5+'sv02'!$U$3*($B122)^6+'sv02'!$T$3*($B122)^7+'sv02'!$S$3*($B122)^8</f>
        <v>8280.1847146096752</v>
      </c>
      <c r="K122" s="5">
        <f>'sv02'!$AA$4+'sv02'!$Z$4*($B122)+'sv02'!$Y$4*($B122)^2+'sv02'!$X$4*($B122)^3+'sv02'!$W$4*($B122)^4+'sv02'!$V$4*($B122)^5+'sv02'!$U$4*($B122)^6+'sv02'!$T$4*($B122)^7+'sv02'!$S$4*($B122)^8</f>
        <v>-14354.268657240567</v>
      </c>
      <c r="L122" s="5">
        <f>'sv02'!$AA$5+'sv02'!$Z$5*($B122)+'sv02'!$Y$5*($B122)^2+'sv02'!$X$5*($B122)^3+'sv02'!$W$5*($B122)^4+'sv02'!$V$5*($B122)^5+'sv02'!$U$5*($B122)^6+'sv02'!$T$5*($B122)^7+'sv02'!$S$5*($B122)^8</f>
        <v>20644.920916586489</v>
      </c>
      <c r="M122" s="5">
        <f>'sv02'!$AA$6+'sv02'!$Z$6*$B122+'sv02'!$Y$6*$B122^2+'sv02'!$X$6*$B122^3+'sv02'!$W$6*$B122^4+'sv02'!$V$6*$B122^5+'sv02'!$U$6*$B122^6+'sv02'!$T$6*$B122^7+'sv02'!$S$6*$B122^8</f>
        <v>257.59307549759353</v>
      </c>
      <c r="O122">
        <f>SQRT(($J122*1000-coord!$B$2)^2+($K122*1000-coord!$C$2)^2+($L122*1000-coord!$D$2)^2)/coord!$B$6</f>
        <v>7.5226767495798735E-2</v>
      </c>
      <c r="Q122" s="5">
        <f>'sv02'!$AA$3+'sv02'!$Z$3*($B122-$O122/3600)+'sv02'!$Y$3*($B122-$O122/3600)^2+'sv02'!$X$3*($B122-$O122/3600)^3+'sv02'!$W$3*($B122-$O122/3600)^4+'sv02'!$V$3*($B122-$O122/3600)^5+'sv02'!$U$3*($B122-$O122/3600)^6+'sv02'!$T$3*($B122-$O122/3600)^7+'sv02'!$S$3*($B122-$O122/3600)^8+K122*coord!$B$7*O122</f>
        <v>8279.9087559264572</v>
      </c>
      <c r="R122" s="5">
        <f>'sv02'!$AA$4+'sv02'!$Z$4*($B122-$O122/3600)+'sv02'!$Y$4*($B122-$O122/3600)^2+'sv02'!$X$4*($B122-$O122/3600)^3+'sv02'!$W$4*($B122-$O122/3600)^4+'sv02'!$V$4*($B122-$O122/3600)^5+'sv02'!$U$4*($B122-$O122/3600)^6+'sv02'!$T$4*($B122-$O122/3600)^7+'sv02'!$S$4*($B122-$O122/3600)^8-J122*coord!$B$7*O122</f>
        <v>-14354.341543190896</v>
      </c>
      <c r="S122" s="5">
        <f>'sv02'!$AA$5+'sv02'!$Z$5*($B122-$O122/3600)+'sv02'!$Y$5*($B122-$O122/3600)^2+'sv02'!$X$5*($B122-$O122/3600)^3+'sv02'!$W$5*($B122-$O122/3600)^4+'sv02'!$V$5*($B122-$O122/3600)^5+'sv02'!$U$5*($B122-$O122/3600)^6+'sv02'!$T$5*($B122-$O122/3600)^7+'sv02'!$S$5*($B122-$O122/3600)^8</f>
        <v>20644.984282992817</v>
      </c>
      <c r="T122">
        <f>coord!$B$6*M122/10^6</f>
        <v>77224.461267203136</v>
      </c>
      <c r="U122">
        <f>SQRT(($Q122*1000+coord!$B$7*$O122*$R122*1000-coord!$B$2)^2+($R122*1000-coord!$B$7*$O122*$Q122*1000-coord!$C$2)^2+($S122*1000-coord!$D$2)^2)</f>
        <v>22552481.794486981</v>
      </c>
      <c r="V122" s="3">
        <f>$D122-(U122-$T122)-coord!$E$2</f>
        <v>-90.676219776272774</v>
      </c>
      <c r="W122" s="3"/>
      <c r="Y122">
        <f>-(Q122*1000-coord!$B$2)/$U122</f>
        <v>-0.17253225700763586</v>
      </c>
      <c r="Z122">
        <f>-(R122*1000-coord!$C$2)/$U122</f>
        <v>0.67748250040161295</v>
      </c>
      <c r="AA122">
        <f>-(S122*1000-coord!$D$2)/$U122</f>
        <v>-0.7150164738248328</v>
      </c>
      <c r="AB122">
        <v>1</v>
      </c>
      <c r="AD122">
        <f t="array" ref="AD122:AJ125">TRANSPOSE(Y122:AB128)</f>
        <v>-0.17253225700763586</v>
      </c>
      <c r="AE122">
        <v>-0.17098126638317385</v>
      </c>
      <c r="AF122">
        <v>-0.16915928051297038</v>
      </c>
      <c r="AG122">
        <v>-0.84319974878602821</v>
      </c>
      <c r="AH122">
        <v>-0.4210030694811368</v>
      </c>
      <c r="AI122">
        <v>-0.4666867806514241</v>
      </c>
      <c r="AJ122">
        <v>-0.96616462678380821</v>
      </c>
      <c r="AL122">
        <f t="array" ref="AL122:AO125">MMULT(AD122:AJ125,Y122:AB128)</f>
        <v>2.1271168734942543</v>
      </c>
      <c r="AM122">
        <v>0.2872842586786058</v>
      </c>
      <c r="AN122">
        <v>1.1253341480904446</v>
      </c>
      <c r="AO122">
        <v>-3.2097270296061771</v>
      </c>
      <c r="AQ122">
        <f t="array" ref="AQ122:AT125">MINVERSE(AL122:AO125)</f>
        <v>2.5941037798877882</v>
      </c>
      <c r="AR122">
        <v>0.15463327584394099</v>
      </c>
      <c r="AS122">
        <v>1.6411510688926358</v>
      </c>
      <c r="AT122">
        <v>1.9968143423706723</v>
      </c>
      <c r="AV122">
        <f t="array" ref="AV122:AV125">MMULT(AD122:AJ125,V122:V128)</f>
        <v>-6.9150345109709832</v>
      </c>
      <c r="AX122">
        <f t="array" ref="AX122:AX125">MMULT(AQ122:AT125,AV122:AV125)</f>
        <v>-1.0190493017669837</v>
      </c>
      <c r="BA122">
        <f>SQRT(($Q122*1000+coord!$B$7*$O122*$R122*1000-coord!$B$2-AX$122)^2+($R122*1000-coord!$B$7*$O122*$Q122*1000-coord!$C$2-AX$123)^2+($S122*1000-coord!$D$2-AX$124)^2)</f>
        <v>22552388.816093627</v>
      </c>
      <c r="BB122" s="3">
        <f>$D122-(BA122-$T122)-AX$125</f>
        <v>-6.71810179817993</v>
      </c>
      <c r="BD122" s="1">
        <f>coord!$B$2+$AX122</f>
        <v>4388877.1517506987</v>
      </c>
      <c r="BE122" s="1">
        <f>coord!$C$2+$AX123</f>
        <v>924479.77957459085</v>
      </c>
      <c r="BF122" s="1">
        <f>coord!$D$2+$AX124</f>
        <v>4519632.8702817895</v>
      </c>
      <c r="BG122" s="1">
        <f>coord!$E$2+$AX125</f>
        <v>9.0202753754289802</v>
      </c>
      <c r="BH122" s="8">
        <f>lat($BD122,$BE122,$BF122)</f>
        <v>45.411578797648239</v>
      </c>
      <c r="BI122" s="8">
        <f>lon($BD122,$BE122,$BF122)</f>
        <v>11.894978786872837</v>
      </c>
      <c r="BJ122" s="6">
        <f>h($BD122,$BE122,$BF122)</f>
        <v>80.094742313027382</v>
      </c>
      <c r="BL122">
        <f>grado($BH122)</f>
        <v>45</v>
      </c>
      <c r="BM122">
        <f>MINUTOprimo($BH122)</f>
        <v>24</v>
      </c>
      <c r="BN122">
        <f>MINUTOsecondo($BH122)</f>
        <v>41.68367153366205</v>
      </c>
      <c r="BO122">
        <f>grado($BI122)</f>
        <v>11</v>
      </c>
      <c r="BP122">
        <f>MINUTOprimo($BI122)</f>
        <v>53</v>
      </c>
      <c r="BQ122">
        <f>MINUTOsecondo($BI122)</f>
        <v>41.923632742213783</v>
      </c>
      <c r="BS122">
        <f>-SIN(RADIANS(BH122))*COS(RADIANS(BI122))</f>
        <v>-0.69687558365005575</v>
      </c>
      <c r="BT122">
        <f>-SIN(RADIANS(BI122))</f>
        <v>-0.20611843130504007</v>
      </c>
      <c r="BU122">
        <f>COS(RADIANS(BH122))*COS(RADIANS(BI122))</f>
        <v>0.68693494101606423</v>
      </c>
      <c r="BW122" t="s">
        <v>93</v>
      </c>
      <c r="BX122">
        <f t="array" ref="BX122:BZ124">MINVERSE(BS122:BU124)</f>
        <v>-0.69687558365005575</v>
      </c>
      <c r="BY122">
        <v>-0.1467909361980404</v>
      </c>
      <c r="BZ122">
        <v>0.70200914663734759</v>
      </c>
      <c r="CA122">
        <v>0</v>
      </c>
      <c r="CB122" s="1">
        <f t="array" ref="CB122:CB124">MMULT(BX122:BZ124,AX122:AX124)</f>
        <v>45.291774234445327</v>
      </c>
      <c r="CD122" s="1">
        <f t="array" ref="CD122:CF122">TRANSPOSE(CB122:CB124)</f>
        <v>45.291774234445327</v>
      </c>
      <c r="CE122" s="1">
        <v>-88.281704065809762</v>
      </c>
      <c r="CF122" s="1">
        <v>17.974330915770722</v>
      </c>
      <c r="CH122">
        <f t="array" ref="CH122:CK125">MMULT(BX122:CA125,AQ122:AT125)</f>
        <v>-0.6783632876103296</v>
      </c>
      <c r="CI122">
        <v>0.13003760090446673</v>
      </c>
      <c r="CJ122">
        <v>0.62368023240407999</v>
      </c>
      <c r="CK122">
        <v>-2.1422360630705128E-3</v>
      </c>
      <c r="CM122">
        <f t="array" ref="CM122:CP125">TRANSPOSE(BX122:CA125)</f>
        <v>-0.69687558365005575</v>
      </c>
      <c r="CN122">
        <v>-0.20611843130504012</v>
      </c>
      <c r="CO122">
        <v>0.68693494101606423</v>
      </c>
      <c r="CP122">
        <v>0</v>
      </c>
      <c r="CR122" s="5">
        <f t="array" ref="CR122:CU125">MMULT(CH122:CK125,CM122:CP125)</f>
        <v>0.89147569852707609</v>
      </c>
      <c r="CS122" s="5">
        <v>0.26706848701123465</v>
      </c>
      <c r="CT122" s="5">
        <v>-3.0103320885198626E-3</v>
      </c>
      <c r="CU122" s="5">
        <v>-2.1422360630705128E-3</v>
      </c>
      <c r="CW122" s="3">
        <f>SQRT(CR122+CS123)</f>
        <v>1.1887062415050202</v>
      </c>
      <c r="CX122" s="3">
        <f>CT124</f>
        <v>4.2858470956121852</v>
      </c>
      <c r="CY122" s="3">
        <f>CU125</f>
        <v>2.0663400549669464</v>
      </c>
      <c r="CZ122" s="3">
        <f>BD129</f>
        <v>4.8753971697148009</v>
      </c>
      <c r="DA122">
        <v>6</v>
      </c>
      <c r="DB122" s="6">
        <f>CY122*DA122*CZ122</f>
        <v>60.445370733925053</v>
      </c>
      <c r="DC122">
        <v>5.33</v>
      </c>
      <c r="DD122" s="6">
        <f>CZ122*DC122*SQRT(0.5*(CR122+CS123)+SQRT((0.5*(CR122-CS123))^2+CS122^2))</f>
        <v>26.390391007880464</v>
      </c>
    </row>
    <row r="123" spans="1:108">
      <c r="A123">
        <v>34</v>
      </c>
      <c r="B123">
        <f t="shared" si="19"/>
        <v>0.53333333333333333</v>
      </c>
      <c r="C123">
        <v>23</v>
      </c>
      <c r="D123">
        <v>21216926.908</v>
      </c>
      <c r="E123">
        <v>111495699.18749</v>
      </c>
      <c r="F123">
        <v>-2023.761</v>
      </c>
      <c r="G123">
        <v>21216923.285</v>
      </c>
      <c r="H123">
        <v>86879751.764469996</v>
      </c>
      <c r="J123" s="5">
        <f>'sv23'!$AA$3+'sv23'!$Z$3*($B123)+'sv23'!$Y$3*($B123)^2+'sv23'!$X$3*($B123)^3+'sv23'!$W$3*($B123)^4+'sv23'!$V$3*($B123)^5+'sv23'!$U$3*($B123)^6+'sv23'!$T$3*($B123)^7+'sv23'!$S$3*($B123)^8</f>
        <v>8035.3489265284679</v>
      </c>
      <c r="K123" s="5">
        <f>'sv23'!$AA$4+'sv23'!$Z$4*($B123)+'sv23'!$Y$4*($B123)^2+'sv23'!$X$4*($B123)^3+'sv23'!$W$4*($B123)^4+'sv23'!$V$4*($B123)^5+'sv23'!$U$4*($B123)^6+'sv23'!$T$4*($B123)^7+'sv23'!$S$4*($B123)^8</f>
        <v>13660.287885457456</v>
      </c>
      <c r="L123" s="5">
        <f>'sv23'!$AA$5+'sv23'!$Z$5*($B123)+'sv23'!$Y$5*($B123)^2+'sv23'!$X$5*($B123)^3+'sv23'!$W$5*($B123)^4+'sv23'!$V$5*($B123)^5+'sv23'!$U$5*($B123)^6+'sv23'!$T$5*($B123)^7+'sv23'!$S$5*($B123)^8</f>
        <v>21234.367004821732</v>
      </c>
      <c r="M123" s="5">
        <f>'sv23'!$AA$6+'sv23'!$Z$6*$B123+'sv23'!$Y$6*$B123^2+'sv23'!$X$6*$B123^3+'sv23'!$W$6*$B123^4+'sv23'!$V$6*$B123^5+'sv23'!$U$6*$B123^6+'sv23'!$T$6*$B123^7+'sv23'!$S$6*$B123^8</f>
        <v>370.05617973073663</v>
      </c>
      <c r="O123">
        <f>SQRT(($J123*1000-coord!$B$2)^2+($K123*1000-coord!$C$2)^2+($L123*1000-coord!$D$2)^2)/coord!$B$6</f>
        <v>7.1142198142251395E-2</v>
      </c>
      <c r="Q123" s="5">
        <f>'sv23'!$AA$3+'sv23'!$Z$3*($B123-$O123/3600)+'sv23'!$Y$3*($B123-$O123/3600)^2+'sv23'!$X$3*($B123-$O123/3600)^3+'sv23'!$W$3*($B123-$O123/3600)^4+'sv23'!$V$3*($B123-$O123/3600)^5+'sv23'!$U$3*($B123-$O123/3600)^6+'sv23'!$T$3*($B123-$O123/3600)^7+'sv23'!$S$3*($B123-$O123/3600)^8+K123*coord!$B$7*O123</f>
        <v>8035.5395210333772</v>
      </c>
      <c r="R123" s="5">
        <f>'sv23'!$AA$4+'sv23'!$Z$4*($B123-$O123/3600)+'sv23'!$Y$4*($B123-$O123/3600)^2+'sv23'!$X$4*($B123-$O123/3600)^3+'sv23'!$W$4*($B123-$O123/3600)^4+'sv23'!$V$4*($B123-$O123/3600)^5+'sv23'!$U$4*($B123-$O123/3600)^6+'sv23'!$T$4*($B123-$O123/3600)^7+'sv23'!$S$4*($B123-$O123/3600)^8-J123*coord!$B$7*O123</f>
        <v>13660.095310478553</v>
      </c>
      <c r="S123" s="5">
        <f>'sv23'!$AA$5+'sv23'!$Z$5*($B123-$O123/3600)+'sv23'!$Y$5*($B123-$O123/3600)^2+'sv23'!$X$5*($B123-$O123/3600)^3+'sv23'!$W$5*($B123-$O123/3600)^4+'sv23'!$V$5*($B123-$O123/3600)^5+'sv23'!$U$5*($B123-$O123/3600)^6+'sv23'!$T$5*($B123-$O123/3600)^7+'sv23'!$S$5*($B123-$O123/3600)^8</f>
        <v>21234.420903622347</v>
      </c>
      <c r="T123">
        <f>coord!$B$6*M123/10^6</f>
        <v>110940.0517195673</v>
      </c>
      <c r="U123">
        <f>SQRT(($Q123*1000+coord!$B$7*$O123*$R123*1000-coord!$B$2)^2+($R123*1000-coord!$B$7*$O123*$Q123*1000-coord!$C$2)^2+($S123*1000-coord!$D$2)^2)</f>
        <v>21327841.507859148</v>
      </c>
      <c r="V123" s="3">
        <f>$D123-(U123-$T123)-coord!$E$2</f>
        <v>25.451860420405865</v>
      </c>
      <c r="W123" s="3"/>
      <c r="Y123">
        <f>-(Q123*1000-coord!$B$2)/$U123</f>
        <v>-0.17098126638317385</v>
      </c>
      <c r="Z123">
        <f>-(R123*1000-coord!$C$2)/$U123</f>
        <v>-0.59713145807960033</v>
      </c>
      <c r="AA123">
        <f>-(S123*1000-coord!$D$2)/$U123</f>
        <v>-0.78370952930998938</v>
      </c>
      <c r="AB123">
        <v>1</v>
      </c>
      <c r="AD123">
        <v>0.67748250040161295</v>
      </c>
      <c r="AE123">
        <v>-0.59713145807960033</v>
      </c>
      <c r="AF123">
        <v>0.74162071782604044</v>
      </c>
      <c r="AG123">
        <v>0.36883098329657826</v>
      </c>
      <c r="AH123">
        <v>-0.90705908016511527</v>
      </c>
      <c r="AI123">
        <v>-0.23405648416949415</v>
      </c>
      <c r="AJ123">
        <v>-0.25608269984303245</v>
      </c>
      <c r="AL123">
        <v>0.2872842586786058</v>
      </c>
      <c r="AM123">
        <v>2.4447030617776897</v>
      </c>
      <c r="AN123">
        <v>-0.43332030897553708</v>
      </c>
      <c r="AO123">
        <v>-0.20639552073301054</v>
      </c>
      <c r="AQ123">
        <v>0.15463327584394085</v>
      </c>
      <c r="AR123">
        <v>0.4947321624842238</v>
      </c>
      <c r="AS123">
        <v>0.44218790317077433</v>
      </c>
      <c r="AT123">
        <v>0.30178920237479395</v>
      </c>
      <c r="AV123">
        <v>-242.56220679013279</v>
      </c>
      <c r="AX123">
        <v>-90.433625409105701</v>
      </c>
      <c r="BA123">
        <f>SQRT(($Q123*1000+coord!$B$7*$O123*$R123*1000-coord!$B$2-AX$122)^2+($R123*1000-coord!$B$7*$O123*$Q123*1000-coord!$C$2-AX$123)^2+($S123*1000-coord!$D$2-AX$124)^2)</f>
        <v>21327860.732620526</v>
      </c>
      <c r="BB123" s="3">
        <f t="shared" ref="BB123:BB128" si="25">$D123-(BA123-$T123)-AX$125</f>
        <v>-2.7931763330431636</v>
      </c>
      <c r="BD123" s="1"/>
      <c r="BE123" s="1"/>
      <c r="BF123" s="1"/>
      <c r="BS123">
        <f>-SIN(RADIANS(BH122))*SIN(RADIANS(BI122))</f>
        <v>-0.14679093619804043</v>
      </c>
      <c r="BT123">
        <f>COS(RADIANS(BI122))</f>
        <v>0.97852705239883353</v>
      </c>
      <c r="BU123">
        <f>COS(RADIANS(BH122))*SIN(RADIANS(BI122))</f>
        <v>0.14469702406667992</v>
      </c>
      <c r="BW123" t="s">
        <v>94</v>
      </c>
      <c r="BX123">
        <v>-0.20611843130504012</v>
      </c>
      <c r="BY123">
        <v>0.97852705239883353</v>
      </c>
      <c r="BZ123">
        <v>-2.8364648220595275E-17</v>
      </c>
      <c r="CA123">
        <v>0</v>
      </c>
      <c r="CB123" s="1">
        <v>-88.281704065809762</v>
      </c>
      <c r="CD123" s="1"/>
      <c r="CE123" s="1"/>
      <c r="CF123" s="1"/>
      <c r="CH123">
        <v>-0.38337975813859887</v>
      </c>
      <c r="CI123">
        <v>0.45223603643807558</v>
      </c>
      <c r="CJ123">
        <v>9.442134164137865E-2</v>
      </c>
      <c r="CK123">
        <v>-0.11627134121124616</v>
      </c>
      <c r="CM123">
        <v>-0.1467909361980404</v>
      </c>
      <c r="CN123">
        <v>0.97852705239883353</v>
      </c>
      <c r="CO123">
        <v>0.14469702406667992</v>
      </c>
      <c r="CP123">
        <v>0</v>
      </c>
      <c r="CR123" s="5">
        <v>0.26706848701123476</v>
      </c>
      <c r="CS123" s="5">
        <v>0.52154683006591529</v>
      </c>
      <c r="CT123" s="5">
        <v>-0.13067589163542834</v>
      </c>
      <c r="CU123" s="5">
        <v>-0.11627134121124616</v>
      </c>
    </row>
    <row r="124" spans="1:108">
      <c r="A124">
        <v>34</v>
      </c>
      <c r="B124">
        <f t="shared" si="19"/>
        <v>0.53333333333333333</v>
      </c>
      <c r="C124">
        <v>10</v>
      </c>
      <c r="D124">
        <v>22753999.874000002</v>
      </c>
      <c r="E124">
        <v>119573080.60748</v>
      </c>
      <c r="F124">
        <v>2980.52</v>
      </c>
      <c r="G124">
        <v>22753999.852000002</v>
      </c>
      <c r="H124">
        <v>93173832.858469993</v>
      </c>
      <c r="J124" s="5">
        <f>'sv10'!$AA$3+'sv10'!$Z$3*($B124)+'sv10'!$Y$3*($B124)^2+'sv10'!$X$3*($B124)^3+'sv10'!$W$3*($B124)^4+'sv10'!$V$3*($B124)^5+'sv10'!$U$3*($B124)^6+'sv10'!$T$3*($B124)^7+'sv10'!$S$3*($B124)^8</f>
        <v>8235.9329963769214</v>
      </c>
      <c r="K124" s="5">
        <f>'sv10'!$AA$4+'sv10'!$Z$4*($B124)+'sv10'!$Y$4*($B124)^2+'sv10'!$X$4*($B124)^3+'sv10'!$W$4*($B124)^4+'sv10'!$V$4*($B124)^5+'sv10'!$U$4*($B124)^6+'sv10'!$T$4*($B124)^7+'sv10'!$S$4*($B124)^8</f>
        <v>-15940.551126075188</v>
      </c>
      <c r="L124" s="5">
        <f>'sv10'!$AA$5+'sv10'!$Z$5*($B124)+'sv10'!$Y$5*($B124)^2+'sv10'!$X$5*($B124)^3+'sv10'!$W$5*($B124)^4+'sv10'!$V$5*($B124)^5+'sv10'!$U$5*($B124)^6+'sv10'!$T$5*($B124)^7+'sv10'!$S$5*($B124)^8</f>
        <v>19281.902252263451</v>
      </c>
      <c r="M124" s="5">
        <f>'sv10'!$AA$6+'sv10'!$Z$6*$B124+'sv10'!$Y$6*$B124^2+'sv10'!$X$6*$B124^3+'sv10'!$W$6*$B124^4+'sv10'!$V$6*$B124^5+'sv10'!$U$6*$B124^6+'sv10'!$T$6*$B124^7+'sv10'!$S$6*$B124^8</f>
        <v>-43.001704685111896</v>
      </c>
      <c r="O124">
        <f>SQRT(($J124*1000-coord!$B$2)^2+($K124*1000-coord!$C$2)^2+($L124*1000-coord!$D$2)^2)/coord!$B$6</f>
        <v>7.5856176237950712E-2</v>
      </c>
      <c r="Q124" s="5">
        <f>'sv10'!$AA$3+'sv10'!$Z$3*($B124-$O124/3600)+'sv10'!$Y$3*($B124-$O124/3600)^2+'sv10'!$X$3*($B124-$O124/3600)^3+'sv10'!$W$3*($B124-$O124/3600)^4+'sv10'!$V$3*($B124-$O124/3600)^5+'sv10'!$U$3*($B124-$O124/3600)^6+'sv10'!$T$3*($B124-$O124/3600)^7+'sv10'!$S$3*($B124-$O124/3600)^8+K124*coord!$B$7*O124</f>
        <v>8235.7615572978448</v>
      </c>
      <c r="R124" s="5">
        <f>'sv10'!$AA$4+'sv10'!$Z$4*($B124-$O124/3600)+'sv10'!$Y$4*($B124-$O124/3600)^2+'sv10'!$X$4*($B124-$O124/3600)^3+'sv10'!$W$4*($B124-$O124/3600)^4+'sv10'!$V$4*($B124-$O124/3600)^5+'sv10'!$U$4*($B124-$O124/3600)^6+'sv10'!$T$4*($B124-$O124/3600)^7+'sv10'!$S$4*($B124-$O124/3600)^8-J124*coord!$B$7*O124</f>
        <v>-15940.767649648447</v>
      </c>
      <c r="S124" s="5">
        <f>'sv10'!$AA$5+'sv10'!$Z$5*($B124-$O124/3600)+'sv10'!$Y$5*($B124-$O124/3600)^2+'sv10'!$X$5*($B124-$O124/3600)^3+'sv10'!$W$5*($B124-$O124/3600)^4+'sv10'!$V$5*($B124-$O124/3600)^5+'sv10'!$U$5*($B124-$O124/3600)^6+'sv10'!$T$5*($B124-$O124/3600)^7+'sv10'!$S$5*($B124-$O124/3600)^8</f>
        <v>19281.794894093851</v>
      </c>
      <c r="T124">
        <f>coord!$B$6*M124/10^6</f>
        <v>-12891.586745739811</v>
      </c>
      <c r="U124">
        <f>SQRT(($Q124*1000+coord!$B$7*$O124*$R124*1000-coord!$B$2)^2+($R124*1000-coord!$B$7*$O124*$Q124*1000-coord!$C$2)^2+($S124*1000-coord!$D$2)^2)</f>
        <v>22741190.284282878</v>
      </c>
      <c r="V124" s="3">
        <f>$D124-(U124-$T124)-coord!$E$2</f>
        <v>-81.997028615325689</v>
      </c>
      <c r="W124" s="3"/>
      <c r="Y124">
        <f>-(Q124*1000-coord!$B$2)/$U124</f>
        <v>-0.16915928051297038</v>
      </c>
      <c r="Z124">
        <f>-(R124*1000-coord!$C$2)/$U124</f>
        <v>0.74162071782604044</v>
      </c>
      <c r="AA124">
        <f>-(S124*1000-coord!$D$2)/$U124</f>
        <v>-0.64913957604041772</v>
      </c>
      <c r="AB124">
        <v>1</v>
      </c>
      <c r="AD124">
        <v>-0.7150164738248328</v>
      </c>
      <c r="AE124">
        <v>-0.78370952930998938</v>
      </c>
      <c r="AF124">
        <v>-0.64913957604041772</v>
      </c>
      <c r="AG124">
        <v>-0.3911223883027965</v>
      </c>
      <c r="AH124">
        <v>-1.4099067464946942E-3</v>
      </c>
      <c r="AI124">
        <v>-0.85288996992262711</v>
      </c>
      <c r="AJ124">
        <v>-3.0784362067562035E-2</v>
      </c>
      <c r="AL124">
        <v>1.1253341480904446</v>
      </c>
      <c r="AM124">
        <v>-0.43332030897553708</v>
      </c>
      <c r="AN124">
        <v>2.42817906156536</v>
      </c>
      <c r="AO124">
        <v>-3.4240722062147193</v>
      </c>
      <c r="AQ124">
        <v>1.6411510688926363</v>
      </c>
      <c r="AR124">
        <v>0.44218790317077439</v>
      </c>
      <c r="AS124">
        <v>2.6100336818331651</v>
      </c>
      <c r="AT124">
        <v>2.0422651907539637</v>
      </c>
      <c r="AV124">
        <v>115.44091053344692</v>
      </c>
      <c r="AX124">
        <v>44.595981790099955</v>
      </c>
      <c r="BA124">
        <f>SQRT(($Q124*1000+coord!$B$7*$O124*$R124*1000-coord!$B$2-AX$122)^2+($R124*1000-coord!$B$7*$O124*$Q124*1000-coord!$C$2-AX$123)^2+($S124*1000-coord!$D$2-AX$124)^2)</f>
        <v>22741094.440034103</v>
      </c>
      <c r="BB124" s="3">
        <f t="shared" si="25"/>
        <v>4.8269447846381013</v>
      </c>
      <c r="BD124" s="1"/>
      <c r="BE124" s="1"/>
      <c r="BF124" s="1"/>
      <c r="BS124">
        <f>COS(RADIANS(BH122))</f>
        <v>0.70200914663734759</v>
      </c>
      <c r="BT124">
        <v>0</v>
      </c>
      <c r="BU124">
        <f>SIN(RADIANS(BH122))</f>
        <v>0.71216792825674413</v>
      </c>
      <c r="BW124" t="s">
        <v>95</v>
      </c>
      <c r="BX124">
        <v>0.68693494101606423</v>
      </c>
      <c r="BY124">
        <v>0.14469702406667992</v>
      </c>
      <c r="BZ124">
        <v>0.71216792825674413</v>
      </c>
      <c r="CA124">
        <v>0</v>
      </c>
      <c r="CB124" s="1">
        <v>17.974330915770722</v>
      </c>
      <c r="CD124" s="1"/>
      <c r="CE124" s="1"/>
      <c r="CF124" s="1"/>
      <c r="CH124">
        <v>2.9731306585526771</v>
      </c>
      <c r="CI124">
        <v>0.4927213147438429</v>
      </c>
      <c r="CJ124">
        <v>3.0501295662467571</v>
      </c>
      <c r="CK124">
        <v>2.8697853118256331</v>
      </c>
      <c r="CM124">
        <v>0.70200914663734759</v>
      </c>
      <c r="CN124">
        <v>-2.8364648220595275E-17</v>
      </c>
      <c r="CO124">
        <v>0.71216792825674413</v>
      </c>
      <c r="CP124">
        <v>0</v>
      </c>
      <c r="CR124" s="5">
        <v>-3.0103320885204177E-3</v>
      </c>
      <c r="CS124" s="5">
        <v>-0.13067589163542828</v>
      </c>
      <c r="CT124" s="5">
        <v>4.2858470956121852</v>
      </c>
      <c r="CU124" s="5">
        <v>2.8697853118256331</v>
      </c>
    </row>
    <row r="125" spans="1:108">
      <c r="A125">
        <v>34</v>
      </c>
      <c r="B125">
        <f t="shared" si="19"/>
        <v>0.53333333333333333</v>
      </c>
      <c r="C125">
        <v>4</v>
      </c>
      <c r="D125">
        <v>21213315.789999999</v>
      </c>
      <c r="E125">
        <v>111476724.88149001</v>
      </c>
      <c r="F125">
        <v>-1152.2840000000001</v>
      </c>
      <c r="G125">
        <v>21213315.313999999</v>
      </c>
      <c r="H125">
        <v>86864977.039480001</v>
      </c>
      <c r="J125" s="5">
        <f>'sv04'!$AA$3+'sv04'!$Z$3*($B125)+'sv04'!$Y$3*($B125)^2+'sv04'!$X$3*($B125)^3+'sv04'!$W$3*($B125)^4+'sv04'!$V$3*($B125)^5+'sv04'!$U$3*($B125)^6+'sv04'!$T$3*($B125)^7+'sv04'!$S$3*($B125)^8</f>
        <v>22298.013318218404</v>
      </c>
      <c r="K125" s="5">
        <f>'sv04'!$AA$4+'sv04'!$Z$4*($B125)+'sv04'!$Y$4*($B125)^2+'sv04'!$X$4*($B125)^3+'sv04'!$W$4*($B125)^4+'sv04'!$V$4*($B125)^5+'sv04'!$U$4*($B125)^6+'sv04'!$T$4*($B125)^7+'sv04'!$S$4*($B125)^8</f>
        <v>-6909.0007632349834</v>
      </c>
      <c r="L125" s="5">
        <f>'sv04'!$AA$5+'sv04'!$Z$5*($B125)+'sv04'!$Y$5*($B125)^2+'sv04'!$X$5*($B125)^3+'sv04'!$W$5*($B125)^4+'sv04'!$V$5*($B125)^5+'sv04'!$U$5*($B125)^6+'sv04'!$T$5*($B125)^7+'sv04'!$S$5*($B125)^8</f>
        <v>12826.584003484437</v>
      </c>
      <c r="M125" s="5">
        <f>'sv04'!$AA$6+'sv04'!$Z$6*$B125+'sv04'!$Y$6*$B125^2+'sv04'!$X$6*$B125^3+'sv04'!$W$6*$B125^4+'sv04'!$V$6*$B125^5+'sv04'!$U$6*$B125^6+'sv04'!$T$6*$B125^7+'sv04'!$S$6*$B125^8</f>
        <v>86.603237655008698</v>
      </c>
      <c r="O125">
        <f>SQRT(($J125*1000-coord!$B$2)^2+($K125*1000-coord!$C$2)^2+($L125*1000-coord!$D$2)^2)/coord!$B$6</f>
        <v>7.0846700036005864E-2</v>
      </c>
      <c r="Q125" s="5">
        <f>'sv04'!$AA$3+'sv04'!$Z$3*($B125-$O125/3600)+'sv04'!$Y$3*($B125-$O125/3600)^2+'sv04'!$X$3*($B125-$O125/3600)^3+'sv04'!$W$3*($B125-$O125/3600)^4+'sv04'!$V$3*($B125-$O125/3600)^5+'sv04'!$U$3*($B125-$O125/3600)^6+'sv04'!$T$3*($B125-$O125/3600)^7+'sv04'!$S$3*($B125-$O125/3600)^8+K125*coord!$B$7*O125</f>
        <v>22297.863738524738</v>
      </c>
      <c r="R125" s="5">
        <f>'sv04'!$AA$4+'sv04'!$Z$4*($B125-$O125/3600)+'sv04'!$Y$4*($B125-$O125/3600)^2+'sv04'!$X$4*($B125-$O125/3600)^3+'sv04'!$W$4*($B125-$O125/3600)^4+'sv04'!$V$4*($B125-$O125/3600)^5+'sv04'!$U$4*($B125-$O125/3600)^6+'sv04'!$T$4*($B125-$O125/3600)^7+'sv04'!$S$4*($B125-$O125/3600)^8-J125*coord!$B$7*O125</f>
        <v>-6909.1474394654042</v>
      </c>
      <c r="S125" s="5">
        <f>'sv04'!$AA$5+'sv04'!$Z$5*($B125-$O125/3600)+'sv04'!$Y$5*($B125-$O125/3600)^2+'sv04'!$X$5*($B125-$O125/3600)^3+'sv04'!$W$5*($B125-$O125/3600)^4+'sv04'!$V$5*($B125-$O125/3600)^5+'sv04'!$U$5*($B125-$O125/3600)^6+'sv04'!$T$5*($B125-$O125/3600)^7+'sv04'!$S$5*($B125-$O125/3600)^8</f>
        <v>12826.76011278013</v>
      </c>
      <c r="T125">
        <f>coord!$B$6*M125/10^6</f>
        <v>25962.997487353216</v>
      </c>
      <c r="U125">
        <f>SQRT(($Q125*1000+coord!$B$7*$O125*$R125*1000-coord!$B$2)^2+($R125*1000-coord!$B$7*$O125*$Q125*1000-coord!$C$2)^2+($S125*1000-coord!$D$2)^2)</f>
        <v>21239315.587449674</v>
      </c>
      <c r="V125" s="3">
        <f>$D125-(U125-$T125)-coord!$E$2</f>
        <v>-36.799962319433689</v>
      </c>
      <c r="W125" s="3"/>
      <c r="Y125">
        <f>-(Q125*1000-coord!$B$2)/$U125</f>
        <v>-0.84319974878602821</v>
      </c>
      <c r="Z125">
        <f>-(R125*1000-coord!$C$2)/$U125</f>
        <v>0.36883098329657826</v>
      </c>
      <c r="AA125">
        <f>-(S125*1000-coord!$D$2)/$U125</f>
        <v>-0.3911223883027965</v>
      </c>
      <c r="AB125">
        <v>1</v>
      </c>
      <c r="AD125">
        <v>1</v>
      </c>
      <c r="AE125">
        <v>1</v>
      </c>
      <c r="AF125">
        <v>1</v>
      </c>
      <c r="AG125">
        <v>1</v>
      </c>
      <c r="AH125">
        <v>1</v>
      </c>
      <c r="AI125">
        <v>1</v>
      </c>
      <c r="AJ125">
        <v>1</v>
      </c>
      <c r="AL125">
        <v>-3.2097270296061771</v>
      </c>
      <c r="AM125">
        <v>-0.20639552073301054</v>
      </c>
      <c r="AN125">
        <v>-3.4240722062147193</v>
      </c>
      <c r="AO125">
        <v>7</v>
      </c>
      <c r="AQ125">
        <v>1.9968143423706719</v>
      </c>
      <c r="AR125">
        <v>0.30178920237479417</v>
      </c>
      <c r="AS125">
        <v>2.0422651907539637</v>
      </c>
      <c r="AT125">
        <v>2.0663400549669464</v>
      </c>
      <c r="AV125">
        <v>-67.62196883186698</v>
      </c>
      <c r="AX125">
        <v>9.0202753754289802</v>
      </c>
      <c r="BA125">
        <f>SQRT(($Q125*1000+coord!$B$7*$O125*$R125*1000-coord!$B$2-AX$122)^2+($R125*1000-coord!$B$7*$O125*$Q125*1000-coord!$C$2-AX$123)^2+($S125*1000-coord!$D$2-AX$124)^2)</f>
        <v>21239265.649190359</v>
      </c>
      <c r="BB125" s="3">
        <f t="shared" si="25"/>
        <v>4.1180216198829953</v>
      </c>
      <c r="BD125" s="1"/>
      <c r="BE125" s="1"/>
      <c r="BF125" s="1"/>
      <c r="BX125">
        <v>0</v>
      </c>
      <c r="BY125">
        <v>0</v>
      </c>
      <c r="BZ125">
        <v>0</v>
      </c>
      <c r="CA125">
        <v>1</v>
      </c>
      <c r="CD125" s="1"/>
      <c r="CE125" s="1"/>
      <c r="CF125" s="1"/>
      <c r="CH125">
        <v>1.9968143423706719</v>
      </c>
      <c r="CI125">
        <v>0.30178920237479417</v>
      </c>
      <c r="CJ125">
        <v>2.0422651907539637</v>
      </c>
      <c r="CK125">
        <v>2.0663400549669464</v>
      </c>
      <c r="CM125">
        <v>0</v>
      </c>
      <c r="CN125">
        <v>0</v>
      </c>
      <c r="CO125">
        <v>0</v>
      </c>
      <c r="CP125">
        <v>1</v>
      </c>
      <c r="CR125" s="5">
        <v>-2.1422360630700688E-3</v>
      </c>
      <c r="CS125" s="5">
        <v>-0.11627134121124588</v>
      </c>
      <c r="CT125" s="5">
        <v>2.8697853118256331</v>
      </c>
      <c r="CU125" s="5">
        <v>2.0663400549669464</v>
      </c>
    </row>
    <row r="126" spans="1:108">
      <c r="A126">
        <v>34</v>
      </c>
      <c r="B126">
        <f t="shared" si="19"/>
        <v>0.53333333333333333</v>
      </c>
      <c r="C126">
        <v>20</v>
      </c>
      <c r="D126">
        <v>23219577.423999999</v>
      </c>
      <c r="E126">
        <v>122019697.83747999</v>
      </c>
      <c r="F126">
        <v>-3127.1840000000002</v>
      </c>
      <c r="G126">
        <v>23219577.045000002</v>
      </c>
      <c r="H126">
        <v>95080277.726459995</v>
      </c>
      <c r="J126" s="5">
        <f>'sv20'!$AA$3+'sv20'!$Z$3*($B126)+'sv20'!$Y$3*($B126)^2+'sv20'!$X$3*($B126)^3+'sv20'!$W$3*($B126)^4+'sv20'!$V$3*($B126)^5+'sv20'!$U$3*($B126)^6+'sv20'!$T$3*($B126)^7+'sv20'!$S$3*($B126)^8</f>
        <v>14171.267988428071</v>
      </c>
      <c r="K126" s="5">
        <f>'sv20'!$AA$4+'sv20'!$Z$4*($B126)+'sv20'!$Y$4*($B126)^2+'sv20'!$X$4*($B126)^3+'sv20'!$W$4*($B126)^4+'sv20'!$V$4*($B126)^5+'sv20'!$U$4*($B126)^6+'sv20'!$T$4*($B126)^7+'sv20'!$S$4*($B126)^8</f>
        <v>22001.324626889756</v>
      </c>
      <c r="L126" s="5">
        <f>'sv20'!$AA$5+'sv20'!$Z$5*($B126)+'sv20'!$Y$5*($B126)^2+'sv20'!$X$5*($B126)^3+'sv20'!$W$5*($B126)^4+'sv20'!$V$5*($B126)^5+'sv20'!$U$5*($B126)^6+'sv20'!$T$5*($B126)^7+'sv20'!$S$5*($B126)^8</f>
        <v>4552.1128940664421</v>
      </c>
      <c r="M126" s="5">
        <f>'sv20'!$AA$6+'sv20'!$Z$6*$B126+'sv20'!$Y$6*$B126^2+'sv20'!$X$6*$B126^3+'sv20'!$W$6*$B126^4+'sv20'!$V$6*$B126^5+'sv20'!$U$6*$B126^6+'sv20'!$T$6*$B126^7+'sv20'!$S$6*$B126^8</f>
        <v>55.817691434867058</v>
      </c>
      <c r="O126">
        <f>SQRT(($J126*1000-coord!$B$2)^2+($K126*1000-coord!$C$2)^2+($L126*1000-coord!$D$2)^2)/coord!$B$6</f>
        <v>7.7507964426636558E-2</v>
      </c>
      <c r="Q126" s="5">
        <f>'sv20'!$AA$3+'sv20'!$Z$3*($B126-$O126/3600)+'sv20'!$Y$3*($B126-$O126/3600)^2+'sv20'!$X$3*($B126-$O126/3600)^3+'sv20'!$W$3*($B126-$O126/3600)^4+'sv20'!$V$3*($B126-$O126/3600)^5+'sv20'!$U$3*($B126-$O126/3600)^6+'sv20'!$T$3*($B126-$O126/3600)^7+'sv20'!$S$3*($B126-$O126/3600)^8+K126*coord!$B$7*O126</f>
        <v>14171.396622271308</v>
      </c>
      <c r="R126" s="5">
        <f>'sv20'!$AA$4+'sv20'!$Z$4*($B126-$O126/3600)+'sv20'!$Y$4*($B126-$O126/3600)^2+'sv20'!$X$4*($B126-$O126/3600)^3+'sv20'!$W$4*($B126-$O126/3600)^4+'sv20'!$V$4*($B126-$O126/3600)^5+'sv20'!$U$4*($B126-$O126/3600)^6+'sv20'!$T$4*($B126-$O126/3600)^7+'sv20'!$S$4*($B126-$O126/3600)^8-J126*coord!$B$7*O126</f>
        <v>22001.191339088025</v>
      </c>
      <c r="S126" s="5">
        <f>'sv20'!$AA$5+'sv20'!$Z$5*($B126-$O126/3600)+'sv20'!$Y$5*($B126-$O126/3600)^2+'sv20'!$X$5*($B126-$O126/3600)^3+'sv20'!$W$5*($B126-$O126/3600)^4+'sv20'!$V$5*($B126-$O126/3600)^5+'sv20'!$U$5*($B126-$O126/3600)^6+'sv20'!$T$5*($B126-$O126/3600)^7+'sv20'!$S$5*($B126-$O126/3600)^8</f>
        <v>4552.349172645555</v>
      </c>
      <c r="T126">
        <f>coord!$B$6*M126/10^6</f>
        <v>16733.722915144343</v>
      </c>
      <c r="U126">
        <f>SQRT(($Q126*1000+coord!$B$7*$O126*$R126*1000-coord!$B$2)^2+($R126*1000-coord!$B$7*$O126*$Q126*1000-coord!$C$2)^2+($S126*1000-coord!$D$2)^2)</f>
        <v>23236216.456872217</v>
      </c>
      <c r="V126" s="3">
        <f>$D126-(U126-$T126)-coord!$E$2</f>
        <v>94.690042924135923</v>
      </c>
      <c r="W126" s="3"/>
      <c r="Y126">
        <f>-(Q126*1000-coord!$B$2)/$U126</f>
        <v>-0.4210030694811368</v>
      </c>
      <c r="Z126">
        <f>-(R126*1000-coord!$C$2)/$U126</f>
        <v>-0.90705908016511527</v>
      </c>
      <c r="AA126">
        <f>-(S126*1000-coord!$D$2)/$U126</f>
        <v>-1.4099067464946942E-3</v>
      </c>
      <c r="AB126">
        <v>1</v>
      </c>
      <c r="BA126">
        <f>SQRT(($Q126*1000+coord!$B$7*$O126*$R126*1000-coord!$B$2-AX$122)^2+($R126*1000-coord!$B$7*$O126*$Q126*1000-coord!$C$2-AX$123)^2+($S126*1000-coord!$D$2-AX$124)^2)</f>
        <v>23236298.851426441</v>
      </c>
      <c r="BB126" s="3">
        <f t="shared" si="25"/>
        <v>3.2752133248416726</v>
      </c>
      <c r="BD126" s="1"/>
      <c r="BE126" s="1"/>
      <c r="BF126" s="1"/>
      <c r="CD126" s="1"/>
      <c r="CE126" s="1"/>
      <c r="CF126" s="1"/>
    </row>
    <row r="127" spans="1:108">
      <c r="A127">
        <v>34</v>
      </c>
      <c r="B127">
        <f t="shared" si="19"/>
        <v>0.53333333333333333</v>
      </c>
      <c r="C127">
        <v>13</v>
      </c>
      <c r="D127">
        <v>20178504.931000002</v>
      </c>
      <c r="E127">
        <v>106038758.11549</v>
      </c>
      <c r="F127">
        <v>-811.88199999999995</v>
      </c>
      <c r="G127">
        <v>20178503.116999999</v>
      </c>
      <c r="H127">
        <v>82627595.670479998</v>
      </c>
      <c r="J127" s="5">
        <f>'sv13'!$AA$3+'sv13'!$Z$3*($B127)+'sv13'!$Y$3*($B127)^2+'sv13'!$X$3*($B127)^3+'sv13'!$W$3*($B127)^4+'sv13'!$V$3*($B127)^5+'sv13'!$U$3*($B127)^6+'sv13'!$T$3*($B127)^7+'sv13'!$S$3*($B127)^8</f>
        <v>13848.336372420939</v>
      </c>
      <c r="K127" s="5">
        <f>'sv13'!$AA$4+'sv13'!$Z$4*($B127)+'sv13'!$Y$4*($B127)^2+'sv13'!$X$4*($B127)^3+'sv13'!$W$4*($B127)^4+'sv13'!$V$4*($B127)^5+'sv13'!$U$4*($B127)^6+'sv13'!$T$4*($B127)^7+'sv13'!$S$4*($B127)^8</f>
        <v>5669.0414712661614</v>
      </c>
      <c r="L127" s="5">
        <f>'sv13'!$AA$5+'sv13'!$Z$5*($B127)+'sv13'!$Y$5*($B127)^2+'sv13'!$X$5*($B127)^3+'sv13'!$W$5*($B127)^4+'sv13'!$V$5*($B127)^5+'sv13'!$U$5*($B127)^6+'sv13'!$T$5*($B127)^7+'sv13'!$S$5*($B127)^8</f>
        <v>21807.460751477844</v>
      </c>
      <c r="M127" s="5">
        <f>'sv13'!$AA$6+'sv13'!$Z$6*$B127+'sv13'!$Y$6*$B127^2+'sv13'!$X$6*$B127^3+'sv13'!$W$6*$B127^4+'sv13'!$V$6*$B127^5+'sv13'!$U$6*$B127^6+'sv13'!$T$6*$B127^7+'sv13'!$S$6*$B127^8</f>
        <v>304.21934969591661</v>
      </c>
      <c r="O127">
        <f>SQRT(($J127*1000-coord!$B$2)^2+($K127*1000-coord!$C$2)^2+($L127*1000-coord!$D$2)^2)/coord!$B$6</f>
        <v>6.7612536331114567E-2</v>
      </c>
      <c r="Q127" s="5">
        <f>'sv13'!$AA$3+'sv13'!$Z$3*($B127-$O127/3600)+'sv13'!$Y$3*($B127-$O127/3600)^2+'sv13'!$X$3*($B127-$O127/3600)^3+'sv13'!$W$3*($B127-$O127/3600)^4+'sv13'!$V$3*($B127-$O127/3600)^5+'sv13'!$U$3*($B127-$O127/3600)^6+'sv13'!$T$3*($B127-$O127/3600)^7+'sv13'!$S$3*($B127-$O127/3600)^8+K127*coord!$B$7*O127</f>
        <v>13848.484873848489</v>
      </c>
      <c r="R127" s="5">
        <f>'sv13'!$AA$4+'sv13'!$Z$4*($B127-$O127/3600)+'sv13'!$Y$4*($B127-$O127/3600)^2+'sv13'!$X$4*($B127-$O127/3600)^3+'sv13'!$W$4*($B127-$O127/3600)^4+'sv13'!$V$4*($B127-$O127/3600)^5+'sv13'!$U$4*($B127-$O127/3600)^6+'sv13'!$T$4*($B127-$O127/3600)^7+'sv13'!$S$4*($B127-$O127/3600)^8-J127*coord!$B$7*O127</f>
        <v>5668.8277716660568</v>
      </c>
      <c r="S127" s="5">
        <f>'sv13'!$AA$5+'sv13'!$Z$5*($B127-$O127/3600)+'sv13'!$Y$5*($B127-$O127/3600)^2+'sv13'!$X$5*($B127-$O127/3600)^3+'sv13'!$W$5*($B127-$O127/3600)^4+'sv13'!$V$5*($B127-$O127/3600)^5+'sv13'!$U$5*($B127-$O127/3600)^6+'sv13'!$T$5*($B127-$O127/3600)^7+'sv13'!$S$5*($B127-$O127/3600)^8</f>
        <v>21807.42245117811</v>
      </c>
      <c r="T127">
        <f>coord!$B$6*M127/10^6</f>
        <v>91202.666616500399</v>
      </c>
      <c r="U127">
        <f>SQRT(($Q127*1000+coord!$B$7*$O127*$R127*1000-coord!$B$2)^2+($R127*1000-coord!$B$7*$O127*$Q127*1000-coord!$C$2)^2+($S127*1000-coord!$D$2)^2)</f>
        <v>20269712.139358886</v>
      </c>
      <c r="V127" s="3">
        <f>$D127-(U127-$T127)-coord!$E$2</f>
        <v>-4.5417423844337463</v>
      </c>
      <c r="W127" s="3"/>
      <c r="Y127">
        <f>-(Q127*1000-coord!$B$2)/$U127</f>
        <v>-0.4666867806514241</v>
      </c>
      <c r="Z127">
        <f>-(R127*1000-coord!$C$2)/$U127</f>
        <v>-0.23405648416949415</v>
      </c>
      <c r="AA127">
        <f>-(S127*1000-coord!$D$2)/$U127</f>
        <v>-0.85288996992262711</v>
      </c>
      <c r="AB127">
        <v>1</v>
      </c>
      <c r="BA127">
        <f>SQRT(($Q127*1000+coord!$B$7*$O127*$R127*1000-coord!$B$2-AX$122)^2+($R127*1000-coord!$B$7*$O127*$Q127*1000-coord!$C$2-AX$123)^2+($S127*1000-coord!$D$2-AX$124)^2)</f>
        <v>20269695.745987538</v>
      </c>
      <c r="BB127" s="3">
        <f t="shared" si="25"/>
        <v>2.8313535874752347</v>
      </c>
      <c r="BD127" s="1"/>
      <c r="BE127" s="1"/>
      <c r="BF127" s="1"/>
      <c r="CD127" s="1"/>
      <c r="CE127" s="1"/>
      <c r="CF127" s="1"/>
    </row>
    <row r="128" spans="1:108">
      <c r="A128">
        <v>34</v>
      </c>
      <c r="B128">
        <f t="shared" si="19"/>
        <v>0.53333333333333333</v>
      </c>
      <c r="C128">
        <v>7</v>
      </c>
      <c r="D128">
        <v>21668975.276000001</v>
      </c>
      <c r="E128">
        <v>113871239.98648</v>
      </c>
      <c r="F128">
        <v>2737.5149999999999</v>
      </c>
      <c r="G128">
        <v>21668974.375</v>
      </c>
      <c r="H128">
        <v>88730837.128470004</v>
      </c>
      <c r="J128" s="5">
        <f>'sv07'!$AA$3+'sv07'!$Z$3*($B128)+'sv07'!$Y$3*($B128)^2+'sv07'!$X$3*($B128)^3+'sv07'!$W$3*($B128)^4+'sv07'!$V$3*($B128)^5+'sv07'!$U$3*($B128)^6+'sv07'!$T$3*($B128)^7+'sv07'!$S$3*($B128)^8</f>
        <v>25324.382329268872</v>
      </c>
      <c r="K128" s="5">
        <f>'sv07'!$AA$4+'sv07'!$Z$4*($B128)+'sv07'!$Y$4*($B128)^2+'sv07'!$X$4*($B128)^3+'sv07'!$W$4*($B128)^4+'sv07'!$V$4*($B128)^5+'sv07'!$U$4*($B128)^6+'sv07'!$T$4*($B128)^7+'sv07'!$S$4*($B128)^8</f>
        <v>6473.708555285476</v>
      </c>
      <c r="L128" s="5">
        <f>'sv07'!$AA$5+'sv07'!$Z$5*($B128)+'sv07'!$Y$5*($B128)^2+'sv07'!$X$5*($B128)^3+'sv07'!$W$5*($B128)^4+'sv07'!$V$5*($B128)^5+'sv07'!$U$5*($B128)^6+'sv07'!$T$5*($B128)^7+'sv07'!$S$5*($B128)^8</f>
        <v>5186.8710913214481</v>
      </c>
      <c r="M128" s="5">
        <f>'sv07'!$AA$6+'sv07'!$Z$6*$B128+'sv07'!$Y$6*$B128^2+'sv07'!$X$6*$B128^3+'sv07'!$W$6*$B128^4+'sv07'!$V$6*$B128^5+'sv07'!$U$6*$B128^6+'sv07'!$T$6*$B128^7+'sv07'!$S$6*$B128^8</f>
        <v>-0.637932107651066</v>
      </c>
      <c r="O128">
        <f>SQRT(($J128*1000-coord!$B$2)^2+($K128*1000-coord!$C$2)^2+($L128*1000-coord!$D$2)^2)/coord!$B$6</f>
        <v>7.2279078323978868E-2</v>
      </c>
      <c r="Q128" s="5">
        <f>'sv07'!$AA$3+'sv07'!$Z$3*($B128-$O128/3600)+'sv07'!$Y$3*($B128-$O128/3600)^2+'sv07'!$X$3*($B128-$O128/3600)^3+'sv07'!$W$3*($B128-$O128/3600)^4+'sv07'!$V$3*($B128-$O128/3600)^5+'sv07'!$U$3*($B128-$O128/3600)^6+'sv07'!$T$3*($B128-$O128/3600)^7+'sv07'!$S$3*($B128-$O128/3600)^8+K128*coord!$B$7*O128</f>
        <v>25324.465441945278</v>
      </c>
      <c r="R128" s="5">
        <f>'sv07'!$AA$4+'sv07'!$Z$4*($B128-$O128/3600)+'sv07'!$Y$4*($B128-$O128/3600)^2+'sv07'!$X$4*($B128-$O128/3600)^3+'sv07'!$W$4*($B128-$O128/3600)^4+'sv07'!$V$4*($B128-$O128/3600)^5+'sv07'!$U$4*($B128-$O128/3600)^6+'sv07'!$T$4*($B128-$O128/3600)^7+'sv07'!$S$4*($B128-$O128/3600)^8-J128*coord!$B$7*O128</f>
        <v>6473.5642071541533</v>
      </c>
      <c r="S128" s="5">
        <f>'sv07'!$AA$5+'sv07'!$Z$5*($B128-$O128/3600)+'sv07'!$Y$5*($B128-$O128/3600)^2+'sv07'!$X$5*($B128-$O128/3600)^3+'sv07'!$W$5*($B128-$O128/3600)^4+'sv07'!$V$5*($B128-$O128/3600)^5+'sv07'!$U$5*($B128-$O128/3600)^6+'sv07'!$T$5*($B128-$O128/3600)^7+'sv07'!$S$5*($B128-$O128/3600)^8</f>
        <v>5186.6471592825401</v>
      </c>
      <c r="T128">
        <f>coord!$B$6*M128/10^6</f>
        <v>-191.24723458983368</v>
      </c>
      <c r="U128">
        <f>SQRT(($Q128*1000+coord!$B$7*$O128*$R128*1000-coord!$B$2)^2+($R128*1000-coord!$B$7*$O128*$Q128*1000-coord!$C$2)^2+($S128*1000-coord!$D$2)^2)</f>
        <v>21668757.777684491</v>
      </c>
      <c r="V128" s="3">
        <f>$D128-(U128-$T128)-coord!$E$2</f>
        <v>26.251080919057131</v>
      </c>
      <c r="W128" s="3" t="s">
        <v>127</v>
      </c>
      <c r="X128" s="1" t="s">
        <v>128</v>
      </c>
      <c r="Y128">
        <f>-(Q128*1000-coord!$B$2)/$U128</f>
        <v>-0.96616462678380821</v>
      </c>
      <c r="Z128">
        <f>-(R128*1000-coord!$C$2)/$U128</f>
        <v>-0.25608269984303245</v>
      </c>
      <c r="AA128">
        <f>-(S128*1000-coord!$D$2)/$U128</f>
        <v>-3.0784362067562035E-2</v>
      </c>
      <c r="AB128">
        <v>1</v>
      </c>
      <c r="BA128">
        <f>SQRT(($Q128*1000+coord!$B$7*$O128*$R128*1000-coord!$B$2-AX$122)^2+($R128*1000-coord!$B$7*$O128*$Q128*1000-coord!$C$2-AX$123)^2+($S128*1000-coord!$D$2-AX$124)^2)</f>
        <v>21668780.547549188</v>
      </c>
      <c r="BB128" s="3">
        <f t="shared" si="25"/>
        <v>-5.5390591533811744</v>
      </c>
      <c r="BC128" s="3" t="s">
        <v>127</v>
      </c>
      <c r="BD128" s="1" t="s">
        <v>128</v>
      </c>
      <c r="BE128" s="1"/>
      <c r="BF128" s="1"/>
      <c r="CD128" s="1"/>
      <c r="CE128" s="1"/>
      <c r="CF128" s="1"/>
    </row>
    <row r="129" spans="1:108">
      <c r="V129" s="3"/>
      <c r="W129" s="3">
        <f>AVERAGE($V122:$V128)</f>
        <v>-9.6602812616952836</v>
      </c>
      <c r="X129" s="1">
        <f>SQRT(DEVSQ($V122:$V128)/6)</f>
        <v>65.790611822817283</v>
      </c>
      <c r="BB129" s="3"/>
      <c r="BC129" s="3">
        <f>AVERAGE($BB122:$BB128)</f>
        <v>1.7086174767655393E-4</v>
      </c>
      <c r="BD129" s="1">
        <f>SQRT(DEVSQ($BB122:$BB128)/6)</f>
        <v>4.8753971697148009</v>
      </c>
      <c r="BE129" s="1"/>
      <c r="BF129" s="1"/>
      <c r="CD129" s="1"/>
      <c r="CE129" s="1"/>
      <c r="CF129" s="1"/>
    </row>
    <row r="130" spans="1:108">
      <c r="A130">
        <v>36</v>
      </c>
      <c r="B130">
        <f t="shared" si="19"/>
        <v>0.55000000000000004</v>
      </c>
      <c r="C130">
        <v>2</v>
      </c>
      <c r="D130">
        <v>22451506.609999999</v>
      </c>
      <c r="E130">
        <v>117983469.77847999</v>
      </c>
      <c r="F130">
        <v>2055.6640000000002</v>
      </c>
      <c r="G130">
        <v>22451504.164000001</v>
      </c>
      <c r="H130">
        <v>91935160.767460003</v>
      </c>
      <c r="J130" s="5">
        <f>'sv02'!$AA$3+'sv02'!$Z$3*($B130)+'sv02'!$Y$3*($B130)^2+'sv02'!$X$3*($B130)^3+'sv02'!$W$3*($B130)^4+'sv02'!$V$3*($B130)^5+'sv02'!$U$3*($B130)^6+'sv02'!$T$3*($B130)^7+'sv02'!$S$3*($B130)^8</f>
        <v>8437.3348039536068</v>
      </c>
      <c r="K130" s="5">
        <f>'sv02'!$AA$4+'sv02'!$Z$4*($B130)+'sv02'!$Y$4*($B130)^2+'sv02'!$X$4*($B130)^3+'sv02'!$W$4*($B130)^4+'sv02'!$V$4*($B130)^5+'sv02'!$U$4*($B130)^6+'sv02'!$T$4*($B130)^7+'sv02'!$S$4*($B130)^8</f>
        <v>-14332.634383711082</v>
      </c>
      <c r="L130" s="5">
        <f>'sv02'!$AA$5+'sv02'!$Z$5*($B130)+'sv02'!$Y$5*($B130)^2+'sv02'!$X$5*($B130)^3+'sv02'!$W$5*($B130)^4+'sv02'!$V$5*($B130)^5+'sv02'!$U$5*($B130)^6+'sv02'!$T$5*($B130)^7+'sv02'!$S$5*($B130)^8</f>
        <v>20593.581803381185</v>
      </c>
      <c r="M130" s="5">
        <f>'sv02'!$AA$6+'sv02'!$Z$6*$B130+'sv02'!$Y$6*$B130^2+'sv02'!$X$6*$B130^3+'sv02'!$W$6*$B130^4+'sv02'!$V$6*$B130^5+'sv02'!$U$6*$B130^6+'sv02'!$T$6*$B130^7+'sv02'!$S$6*$B130^8</f>
        <v>257.59326741148988</v>
      </c>
      <c r="O130">
        <f>SQRT(($J130*1000-coord!$B$2)^2+($K130*1000-coord!$C$2)^2+($L130*1000-coord!$D$2)^2)/coord!$B$6</f>
        <v>7.5147893990045345E-2</v>
      </c>
      <c r="Q130" s="5">
        <f>'sv02'!$AA$3+'sv02'!$Z$3*($B130-$O130/3600)+'sv02'!$Y$3*($B130-$O130/3600)^2+'sv02'!$X$3*($B130-$O130/3600)^3+'sv02'!$W$3*($B130-$O130/3600)^4+'sv02'!$V$3*($B130-$O130/3600)^5+'sv02'!$U$3*($B130-$O130/3600)^6+'sv02'!$T$3*($B130-$O130/3600)^7+'sv02'!$S$3*($B130-$O130/3600)^8+K130*coord!$B$7*O130</f>
        <v>8437.0596252938722</v>
      </c>
      <c r="R130" s="5">
        <f>'sv02'!$AA$4+'sv02'!$Z$4*($B130-$O130/3600)+'sv02'!$Y$4*($B130-$O130/3600)^2+'sv02'!$X$4*($B130-$O130/3600)^3+'sv02'!$W$4*($B130-$O130/3600)^4+'sv02'!$V$4*($B130-$O130/3600)^5+'sv02'!$U$4*($B130-$O130/3600)^6+'sv02'!$T$4*($B130-$O130/3600)^7+'sv02'!$S$4*($B130-$O130/3600)^8-J130*coord!$B$7*O130</f>
        <v>-14332.707377549354</v>
      </c>
      <c r="S130" s="5">
        <f>'sv02'!$AA$5+'sv02'!$Z$5*($B130-$O130/3600)+'sv02'!$Y$5*($B130-$O130/3600)^2+'sv02'!$X$5*($B130-$O130/3600)^3+'sv02'!$W$5*($B130-$O130/3600)^4+'sv02'!$V$5*($B130-$O130/3600)^5+'sv02'!$U$5*($B130-$O130/3600)^6+'sv02'!$T$5*($B130-$O130/3600)^7+'sv02'!$S$5*($B130-$O130/3600)^8</f>
        <v>20593.647101034585</v>
      </c>
      <c r="T130">
        <f>coord!$B$6*M130/10^6</f>
        <v>77224.518801541853</v>
      </c>
      <c r="U130">
        <f>SQRT(($Q130*1000+coord!$B$7*$O130*$R130*1000-coord!$B$2)^2+($R130*1000-coord!$B$7*$O130*$Q130*1000-coord!$C$2)^2+($S130*1000-coord!$D$2)^2)</f>
        <v>22528835.625784855</v>
      </c>
      <c r="V130" s="3">
        <f>$D130-(U130-$T130)-coord!$E$2</f>
        <v>-104.49698331579566</v>
      </c>
      <c r="W130" s="3"/>
      <c r="Y130">
        <f>-(Q130*1000-coord!$B$2)/$U130</f>
        <v>-0.17968888946309408</v>
      </c>
      <c r="Z130">
        <f>-(R130*1000-coord!$C$2)/$U130</f>
        <v>0.67723329532783272</v>
      </c>
      <c r="AA130">
        <f>-(S130*1000-coord!$D$2)/$U130</f>
        <v>-0.71348821988551392</v>
      </c>
      <c r="AB130">
        <v>1</v>
      </c>
      <c r="AD130">
        <f t="array" ref="AD130:AJ133">TRANSPOSE(Y130:AB136)</f>
        <v>-0.17968888946309408</v>
      </c>
      <c r="AE130">
        <v>-0.16608141441694019</v>
      </c>
      <c r="AF130">
        <v>-0.17232795868070333</v>
      </c>
      <c r="AG130">
        <v>-0.84718312046930655</v>
      </c>
      <c r="AH130">
        <v>-0.42020371004447266</v>
      </c>
      <c r="AI130">
        <v>-0.46120292716204314</v>
      </c>
      <c r="AJ130">
        <v>-0.96564272745079527</v>
      </c>
      <c r="AL130">
        <f t="array" ref="AL130:AO133">MMULT(AD130:AJ133,Y130:AB136)</f>
        <v>2.129032473198968</v>
      </c>
      <c r="AM130">
        <v>0.28035895069980754</v>
      </c>
      <c r="AN130">
        <v>1.1249830119340829</v>
      </c>
      <c r="AO130">
        <v>-3.2123307476873553</v>
      </c>
      <c r="AQ130">
        <f t="array" ref="AQ130:AT133">MINVERSE(AL130:AO133)</f>
        <v>2.6019427951166412</v>
      </c>
      <c r="AR130">
        <v>0.17538513764250557</v>
      </c>
      <c r="AS130">
        <v>1.6554384640460851</v>
      </c>
      <c r="AT130">
        <v>2.0082401699655783</v>
      </c>
      <c r="AV130">
        <f t="array" ref="AV130:AV133">MMULT(AD130:AJ133,V130:V136)</f>
        <v>-9.3277700736298002</v>
      </c>
      <c r="AX130">
        <f t="array" ref="AX130:AX133">MMULT(AQ130:AT133,AV130:AV133)</f>
        <v>-2.8278835991011135</v>
      </c>
      <c r="BA130">
        <f>SQRT(($Q130*1000+coord!$B$7*$O130*$R130*1000-coord!$B$2-AX$130)^2+($R130*1000-coord!$B$7*$O130*$Q130*1000-coord!$C$2-AX$131)^2+($S130*1000-coord!$D$2-AX$132)^2)</f>
        <v>22528728.476851296</v>
      </c>
      <c r="BB130" s="3">
        <f>$D130-(BA130-$T130)-AX$133</f>
        <v>-6.8033784342075876</v>
      </c>
      <c r="BD130" s="1">
        <f>coord!$B$2+$AX130</f>
        <v>4388875.3429164011</v>
      </c>
      <c r="BE130" s="1">
        <f>coord!$C$2+$AX131</f>
        <v>924464.38140611048</v>
      </c>
      <c r="BF130" s="1">
        <f>coord!$D$2+$AX132</f>
        <v>4519638.7083235048</v>
      </c>
      <c r="BG130" s="1">
        <f>coord!$E$2+$AX133</f>
        <v>9.4553286780680708</v>
      </c>
      <c r="BH130" s="8">
        <f>lat($BD130,$BE130,$BF130)</f>
        <v>45.411647351734523</v>
      </c>
      <c r="BI130" s="8">
        <f>lon($BD130,$BE130,$BF130)</f>
        <v>11.894791070151021</v>
      </c>
      <c r="BJ130" s="6">
        <f>h($BD130,$BE130,$BF130)</f>
        <v>80.781809207051992</v>
      </c>
      <c r="BL130">
        <f>grado($BH130)</f>
        <v>45</v>
      </c>
      <c r="BM130">
        <f>MINUTOprimo($BH130)</f>
        <v>24</v>
      </c>
      <c r="BN130">
        <f>MINUTOsecondo($BH130)</f>
        <v>41.930466244281774</v>
      </c>
      <c r="BO130">
        <f>grado($BI130)</f>
        <v>11</v>
      </c>
      <c r="BP130">
        <f>MINUTOprimo($BI130)</f>
        <v>53</v>
      </c>
      <c r="BQ130">
        <f>MINUTOsecondo($BI130)</f>
        <v>41.247852543674384</v>
      </c>
      <c r="BS130">
        <f>-SIN(RADIANS(BH130))*COS(RADIANS(BI130))</f>
        <v>-0.69687688648773094</v>
      </c>
      <c r="BT130">
        <f>-SIN(RADIANS(BI130))</f>
        <v>-0.20611522538035543</v>
      </c>
      <c r="BU130">
        <f>COS(RADIANS(BH130))*COS(RADIANS(BI130))</f>
        <v>0.68693458127071427</v>
      </c>
      <c r="BW130" t="s">
        <v>93</v>
      </c>
      <c r="BX130">
        <f t="array" ref="BX130:BZ132">MINVERSE(BS130:BU132)</f>
        <v>-0.69687688648773083</v>
      </c>
      <c r="BY130">
        <v>-0.14678882616769826</v>
      </c>
      <c r="BZ130">
        <v>0.70200829453182056</v>
      </c>
      <c r="CA130">
        <v>0</v>
      </c>
      <c r="CB130" s="1">
        <f t="array" ref="CB130:CB132">MMULT(BX130:BZ132,AX130:AX132)</f>
        <v>52.910714341461258</v>
      </c>
      <c r="CD130" s="1">
        <f t="array" ref="CD130:CF130">TRANSPOSE(CB130:CB132)</f>
        <v>52.910714341461258</v>
      </c>
      <c r="CE130" s="1">
        <v>-102.97647492718704</v>
      </c>
      <c r="CF130" s="1">
        <v>18.661676503187252</v>
      </c>
      <c r="CH130">
        <f t="array" ref="CH130:CK133">MMULT(BX130:CA133,AQ130:AT133)</f>
        <v>-0.67684683951450286</v>
      </c>
      <c r="CI130">
        <v>0.12545987297389616</v>
      </c>
      <c r="CJ130">
        <v>0.62122013941150533</v>
      </c>
      <c r="CK130">
        <v>-3.1491503098990403E-3</v>
      </c>
      <c r="CM130">
        <f t="array" ref="CM130:CP133">TRANSPOSE(BX130:CA133)</f>
        <v>-0.69687688648773083</v>
      </c>
      <c r="CN130">
        <v>-0.20611522538035543</v>
      </c>
      <c r="CO130">
        <v>0.68693458127071416</v>
      </c>
      <c r="CP130">
        <v>0</v>
      </c>
      <c r="CR130" s="5">
        <f t="array" ref="CR130:CU133">MMULT(CH130:CK133,CM130:CP133)</f>
        <v>0.88936450126203148</v>
      </c>
      <c r="CS130" s="5">
        <v>0.2622744032924646</v>
      </c>
      <c r="CT130" s="5">
        <v>-4.3825529508370598E-3</v>
      </c>
      <c r="CU130" s="5">
        <v>-3.1491503098990403E-3</v>
      </c>
      <c r="CW130" s="3">
        <f>SQRT(CR130+CS131)</f>
        <v>1.1856318090516065</v>
      </c>
      <c r="CX130" s="3">
        <f>CT132</f>
        <v>4.3177209743459279</v>
      </c>
      <c r="CY130" s="3">
        <f>CU133</f>
        <v>2.0788986629311981</v>
      </c>
      <c r="CZ130" s="3">
        <f>BD137</f>
        <v>4.9176006719584224</v>
      </c>
      <c r="DA130">
        <v>6</v>
      </c>
      <c r="DB130" s="6">
        <f>CY130*DA130*CZ130</f>
        <v>61.339160770583547</v>
      </c>
      <c r="DC130">
        <v>5.33</v>
      </c>
      <c r="DD130" s="6">
        <f>CZ130*DC130*SQRT(0.5*(CR130+CS131)+SQRT((0.5*(CR130-CS131))^2+CS130^2))</f>
        <v>26.532363206033668</v>
      </c>
    </row>
    <row r="131" spans="1:108">
      <c r="A131">
        <v>36</v>
      </c>
      <c r="B131">
        <f t="shared" si="19"/>
        <v>0.55000000000000004</v>
      </c>
      <c r="C131">
        <v>23</v>
      </c>
      <c r="D131">
        <v>21240127.958000001</v>
      </c>
      <c r="E131">
        <v>111617622.09149</v>
      </c>
      <c r="F131">
        <v>-2040.0340000000001</v>
      </c>
      <c r="G131">
        <v>21240124.449000001</v>
      </c>
      <c r="H131">
        <v>86974756.587469995</v>
      </c>
      <c r="J131" s="5">
        <f>'sv23'!$AA$3+'sv23'!$Z$3*($B131)+'sv23'!$Y$3*($B131)^2+'sv23'!$X$3*($B131)^3+'sv23'!$W$3*($B131)^4+'sv23'!$V$3*($B131)^5+'sv23'!$U$3*($B131)^6+'sv23'!$T$3*($B131)^7+'sv23'!$S$3*($B131)^8</f>
        <v>7934.6978312817491</v>
      </c>
      <c r="K131" s="5">
        <f>'sv23'!$AA$4+'sv23'!$Z$4*($B131)+'sv23'!$Y$4*($B131)^2+'sv23'!$X$4*($B131)^3+'sv23'!$W$4*($B131)^4+'sv23'!$V$4*($B131)^5+'sv23'!$U$4*($B131)^6+'sv23'!$T$4*($B131)^7+'sv23'!$S$4*($B131)^8</f>
        <v>13787.588847810193</v>
      </c>
      <c r="L131" s="5">
        <f>'sv23'!$AA$5+'sv23'!$Z$5*($B131)+'sv23'!$Y$5*($B131)^2+'sv23'!$X$5*($B131)^3+'sv23'!$W$5*($B131)^4+'sv23'!$V$5*($B131)^5+'sv23'!$U$5*($B131)^6+'sv23'!$T$5*($B131)^7+'sv23'!$S$5*($B131)^8</f>
        <v>21188.090359019698</v>
      </c>
      <c r="M131" s="5">
        <f>'sv23'!$AA$6+'sv23'!$Z$6*$B131+'sv23'!$Y$6*$B131^2+'sv23'!$X$6*$B131^3+'sv23'!$W$6*$B131^4+'sv23'!$V$6*$B131^5+'sv23'!$U$6*$B131^6+'sv23'!$T$6*$B131^7+'sv23'!$S$6*$B131^8</f>
        <v>370.05609803585355</v>
      </c>
      <c r="O131">
        <f>SQRT(($J131*1000-coord!$B$2)^2+($K131*1000-coord!$C$2)^2+($L131*1000-coord!$D$2)^2)/coord!$B$6</f>
        <v>7.1219570409284561E-2</v>
      </c>
      <c r="Q131" s="5">
        <f>'sv23'!$AA$3+'sv23'!$Z$3*($B131-$O131/3600)+'sv23'!$Y$3*($B131-$O131/3600)^2+'sv23'!$X$3*($B131-$O131/3600)^3+'sv23'!$W$3*($B131-$O131/3600)^4+'sv23'!$V$3*($B131-$O131/3600)^5+'sv23'!$U$3*($B131-$O131/3600)^6+'sv23'!$T$3*($B131-$O131/3600)^7+'sv23'!$S$3*($B131-$O131/3600)^8+K131*coord!$B$7*O131</f>
        <v>7934.8885215474929</v>
      </c>
      <c r="R131" s="5">
        <f>'sv23'!$AA$4+'sv23'!$Z$4*($B131-$O131/3600)+'sv23'!$Y$4*($B131-$O131/3600)^2+'sv23'!$X$4*($B131-$O131/3600)^3+'sv23'!$W$4*($B131-$O131/3600)^4+'sv23'!$V$4*($B131-$O131/3600)^5+'sv23'!$U$4*($B131-$O131/3600)^6+'sv23'!$T$4*($B131-$O131/3600)^7+'sv23'!$S$4*($B131-$O131/3600)^8-J131*coord!$B$7*O131</f>
        <v>13787.396485258052</v>
      </c>
      <c r="S131" s="5">
        <f>'sv23'!$AA$5+'sv23'!$Z$5*($B131-$O131/3600)+'sv23'!$Y$5*($B131-$O131/3600)^2+'sv23'!$X$5*($B131-$O131/3600)^3+'sv23'!$W$5*($B131-$O131/3600)^4+'sv23'!$V$5*($B131-$O131/3600)^5+'sv23'!$U$5*($B131-$O131/3600)^6+'sv23'!$T$5*($B131-$O131/3600)^7+'sv23'!$S$5*($B131-$O131/3600)^8</f>
        <v>21188.14625873751</v>
      </c>
      <c r="T131">
        <f>coord!$B$6*M131/10^6</f>
        <v>110940.02722805752</v>
      </c>
      <c r="U131">
        <f>SQRT(($Q131*1000+coord!$B$7*$O131*$R131*1000-coord!$B$2)^2+($R131*1000-coord!$B$7*$O131*$Q131*1000-coord!$C$2)^2+($S131*1000-coord!$D$2)^2)</f>
        <v>21351036.557560783</v>
      </c>
      <c r="V131" s="3">
        <f>$D131-(U131-$T131)-coord!$E$2</f>
        <v>31.427667275071144</v>
      </c>
      <c r="W131" s="3"/>
      <c r="Y131">
        <f>-(Q131*1000-coord!$B$2)/$U131</f>
        <v>-0.16608141441694019</v>
      </c>
      <c r="Z131">
        <f>-(R131*1000-coord!$C$2)/$U131</f>
        <v>-0.60244504932492826</v>
      </c>
      <c r="AA131">
        <f>-(S131*1000-coord!$D$2)/$U131</f>
        <v>-0.7806908081254198</v>
      </c>
      <c r="AB131">
        <v>1</v>
      </c>
      <c r="AD131">
        <v>0.67723329532783272</v>
      </c>
      <c r="AE131">
        <v>-0.60244504932492826</v>
      </c>
      <c r="AF131">
        <v>0.73676658695583663</v>
      </c>
      <c r="AG131">
        <v>0.36735506031213</v>
      </c>
      <c r="AH131">
        <v>-0.90740777489076441</v>
      </c>
      <c r="AI131">
        <v>-0.24032632015526986</v>
      </c>
      <c r="AJ131">
        <v>-0.25686777200385053</v>
      </c>
      <c r="AL131">
        <v>0.28035895069980754</v>
      </c>
      <c r="AM131">
        <v>2.4464863801339951</v>
      </c>
      <c r="AN131">
        <v>-0.42605728323748404</v>
      </c>
      <c r="AO131">
        <v>-0.22569197377901376</v>
      </c>
      <c r="AQ131">
        <v>0.1753851376425058</v>
      </c>
      <c r="AR131">
        <v>0.49770980063589515</v>
      </c>
      <c r="AS131">
        <v>0.45688913013746629</v>
      </c>
      <c r="AT131">
        <v>0.31968394328571564</v>
      </c>
      <c r="AV131">
        <v>-283.33063964399503</v>
      </c>
      <c r="AX131">
        <v>-105.83179388957171</v>
      </c>
      <c r="BA131">
        <f>SQRT(($Q131*1000+coord!$B$7*$O131*$R131*1000-coord!$B$2-AX$130)^2+($R131*1000-coord!$B$7*$O131*$Q131*1000-coord!$C$2-AX$131)^2+($S131*1000-coord!$D$2-AX$132)^2)</f>
        <v>21351061.411794208</v>
      </c>
      <c r="BB131" s="3">
        <f t="shared" ref="BB131:BB136" si="26">$D131-(BA131-$T131)-AX$133</f>
        <v>-2.8818948281075052</v>
      </c>
      <c r="BD131" s="1"/>
      <c r="BE131" s="1"/>
      <c r="BF131" s="1"/>
      <c r="BS131">
        <f>-SIN(RADIANS(BH130))*SIN(RADIANS(BI130))</f>
        <v>-0.14678882616769828</v>
      </c>
      <c r="BT131">
        <f>COS(RADIANS(BI130))</f>
        <v>0.97852772769421581</v>
      </c>
      <c r="BU131">
        <f>COS(RADIANS(BH130))*SIN(RADIANS(BI130))</f>
        <v>0.14469459784630515</v>
      </c>
      <c r="BW131" t="s">
        <v>94</v>
      </c>
      <c r="BX131">
        <v>-0.20611522538035543</v>
      </c>
      <c r="BY131">
        <v>0.9785277276942157</v>
      </c>
      <c r="BZ131">
        <v>0</v>
      </c>
      <c r="CA131">
        <v>0</v>
      </c>
      <c r="CB131" s="1">
        <v>-102.97647492718704</v>
      </c>
      <c r="CD131" s="1"/>
      <c r="CE131" s="1"/>
      <c r="CF131" s="1"/>
      <c r="CH131">
        <v>-0.36468080543359999</v>
      </c>
      <c r="CI131">
        <v>0.45087329309383389</v>
      </c>
      <c r="CJ131">
        <v>0.10586761020143348</v>
      </c>
      <c r="CK131">
        <v>-0.1011092726466406</v>
      </c>
      <c r="CM131">
        <v>-0.14678882616769826</v>
      </c>
      <c r="CN131">
        <v>0.9785277276942157</v>
      </c>
      <c r="CO131">
        <v>0.14469459784630515</v>
      </c>
      <c r="CP131">
        <v>0</v>
      </c>
      <c r="CR131" s="5">
        <v>0.26227440329246454</v>
      </c>
      <c r="CS131" s="5">
        <v>0.51635828537295336</v>
      </c>
      <c r="CT131" s="5">
        <v>-0.1098773210040422</v>
      </c>
      <c r="CU131" s="5">
        <v>-0.1011092726466406</v>
      </c>
    </row>
    <row r="132" spans="1:108">
      <c r="A132">
        <v>36</v>
      </c>
      <c r="B132">
        <f t="shared" si="19"/>
        <v>0.55000000000000004</v>
      </c>
      <c r="C132">
        <v>10</v>
      </c>
      <c r="D132">
        <v>22720022.377</v>
      </c>
      <c r="E132">
        <v>119394527.06547999</v>
      </c>
      <c r="F132">
        <v>2970.6170000000002</v>
      </c>
      <c r="G132">
        <v>22720022.116999999</v>
      </c>
      <c r="H132">
        <v>93034700.304460004</v>
      </c>
      <c r="J132" s="5">
        <f>'sv10'!$AA$3+'sv10'!$Z$3*($B132)+'sv10'!$Y$3*($B132)^2+'sv10'!$X$3*($B132)^3+'sv10'!$W$3*($B132)^4+'sv10'!$V$3*($B132)^5+'sv10'!$U$3*($B132)^6+'sv10'!$T$3*($B132)^7+'sv10'!$S$3*($B132)^8</f>
        <v>8302.1395373990072</v>
      </c>
      <c r="K132" s="5">
        <f>'sv10'!$AA$4+'sv10'!$Z$4*($B132)+'sv10'!$Y$4*($B132)^2+'sv10'!$X$4*($B132)^3+'sv10'!$W$4*($B132)^4+'sv10'!$V$4*($B132)^5+'sv10'!$U$4*($B132)^6+'sv10'!$T$4*($B132)^7+'sv10'!$S$4*($B132)^8</f>
        <v>-15805.138809648746</v>
      </c>
      <c r="L132" s="5">
        <f>'sv10'!$AA$5+'sv10'!$Z$5*($B132)+'sv10'!$Y$5*($B132)^2+'sv10'!$X$5*($B132)^3+'sv10'!$W$5*($B132)^4+'sv10'!$V$5*($B132)^5+'sv10'!$U$5*($B132)^6+'sv10'!$T$5*($B132)^7+'sv10'!$S$5*($B132)^8</f>
        <v>19366.060187741226</v>
      </c>
      <c r="M132" s="5">
        <f>'sv10'!$AA$6+'sv10'!$Z$6*$B132+'sv10'!$Y$6*$B132^2+'sv10'!$X$6*$B132^3+'sv10'!$W$6*$B132^4+'sv10'!$V$6*$B132^5+'sv10'!$U$6*$B132^6+'sv10'!$T$6*$B132^7+'sv10'!$S$6*$B132^8</f>
        <v>-43.001749185642232</v>
      </c>
      <c r="O132">
        <f>SQRT(($J132*1000-coord!$B$2)^2+($K132*1000-coord!$C$2)^2+($L132*1000-coord!$D$2)^2)/coord!$B$6</f>
        <v>7.5742888107132103E-2</v>
      </c>
      <c r="Q132" s="5">
        <f>'sv10'!$AA$3+'sv10'!$Z$3*($B132-$O132/3600)+'sv10'!$Y$3*($B132-$O132/3600)^2+'sv10'!$X$3*($B132-$O132/3600)^3+'sv10'!$W$3*($B132-$O132/3600)^4+'sv10'!$V$3*($B132-$O132/3600)^5+'sv10'!$U$3*($B132-$O132/3600)^6+'sv10'!$T$3*($B132-$O132/3600)^7+'sv10'!$S$3*($B132-$O132/3600)^8+K132*coord!$B$7*O132</f>
        <v>8301.968226214929</v>
      </c>
      <c r="R132" s="5">
        <f>'sv10'!$AA$4+'sv10'!$Z$4*($B132-$O132/3600)+'sv10'!$Y$4*($B132-$O132/3600)^2+'sv10'!$X$4*($B132-$O132/3600)^3+'sv10'!$W$4*($B132-$O132/3600)^4+'sv10'!$V$4*($B132-$O132/3600)^5+'sv10'!$U$4*($B132-$O132/3600)^6+'sv10'!$T$4*($B132-$O132/3600)^7+'sv10'!$S$4*($B132-$O132/3600)^8-J132*coord!$B$7*O132</f>
        <v>-15805.355833917474</v>
      </c>
      <c r="S132" s="5">
        <f>'sv10'!$AA$5+'sv10'!$Z$5*($B132-$O132/3600)+'sv10'!$Y$5*($B132-$O132/3600)^2+'sv10'!$X$5*($B132-$O132/3600)^3+'sv10'!$W$5*($B132-$O132/3600)^4+'sv10'!$V$5*($B132-$O132/3600)^5+'sv10'!$U$5*($B132-$O132/3600)^6+'sv10'!$T$5*($B132-$O132/3600)^7+'sv10'!$S$5*($B132-$O132/3600)^8</f>
        <v>19365.954905675397</v>
      </c>
      <c r="T132">
        <f>coord!$B$6*M132/10^6</f>
        <v>-12891.600086663184</v>
      </c>
      <c r="U132">
        <f>SQRT(($Q132*1000+coord!$B$7*$O132*$R132*1000-coord!$B$2)^2+($R132*1000-coord!$B$7*$O132*$Q132*1000-coord!$C$2)^2+($S132*1000-coord!$D$2)^2)</f>
        <v>22707226.879332274</v>
      </c>
      <c r="V132" s="3">
        <f>$D132-(U132-$T132)-coord!$E$2</f>
        <v>-96.102418936789036</v>
      </c>
      <c r="W132" s="3"/>
      <c r="Y132">
        <f>-(Q132*1000-coord!$B$2)/$U132</f>
        <v>-0.17232795868070333</v>
      </c>
      <c r="Z132">
        <f>-(R132*1000-coord!$C$2)/$U132</f>
        <v>0.73676658695583663</v>
      </c>
      <c r="AA132">
        <f>-(S132*1000-coord!$D$2)/$U132</f>
        <v>-0.65381680952368093</v>
      </c>
      <c r="AB132">
        <v>1</v>
      </c>
      <c r="AD132">
        <v>-0.71348821988551392</v>
      </c>
      <c r="AE132">
        <v>-0.7806908081254198</v>
      </c>
      <c r="AF132">
        <v>-0.65381680952368093</v>
      </c>
      <c r="AG132">
        <v>-0.3838357130834773</v>
      </c>
      <c r="AH132">
        <v>6.4591405127866382E-3</v>
      </c>
      <c r="AI132">
        <v>-0.85412845959042061</v>
      </c>
      <c r="AJ132">
        <v>-3.9410464261705976E-2</v>
      </c>
      <c r="AL132">
        <v>1.1249830119340829</v>
      </c>
      <c r="AM132">
        <v>-0.42605728323748404</v>
      </c>
      <c r="AN132">
        <v>2.4244801835327392</v>
      </c>
      <c r="AO132">
        <v>-3.418911333957432</v>
      </c>
      <c r="AQ132">
        <v>1.655438464046086</v>
      </c>
      <c r="AR132">
        <v>0.45688913013746629</v>
      </c>
      <c r="AS132">
        <v>2.6237911652283779</v>
      </c>
      <c r="AT132">
        <v>2.0559202058964492</v>
      </c>
      <c r="AV132">
        <v>131.85844575658672</v>
      </c>
      <c r="AX132">
        <v>50.434023505249485</v>
      </c>
      <c r="BA132">
        <f>SQRT(($Q132*1000+coord!$B$7*$O132*$R132*1000-coord!$B$2-AX$130)^2+($R132*1000-coord!$B$7*$O132*$Q132*1000-coord!$C$2-AX$131)^2+($S132*1000-coord!$D$2-AX$132)^2)</f>
        <v>22707116.418523323</v>
      </c>
      <c r="BB132" s="3">
        <f t="shared" si="26"/>
        <v>4.9030613365505644</v>
      </c>
      <c r="BD132" s="1"/>
      <c r="BE132" s="1"/>
      <c r="BF132" s="1"/>
      <c r="BS132">
        <f>COS(RADIANS(BH130))</f>
        <v>0.70200829453182068</v>
      </c>
      <c r="BT132">
        <v>0</v>
      </c>
      <c r="BU132">
        <f>SIN(RADIANS(BH130))</f>
        <v>0.71216876820633224</v>
      </c>
      <c r="BW132" t="s">
        <v>95</v>
      </c>
      <c r="BX132">
        <v>0.68693458127071416</v>
      </c>
      <c r="BY132">
        <v>0.14469459784630515</v>
      </c>
      <c r="BZ132">
        <v>0.71216876820633224</v>
      </c>
      <c r="CA132">
        <v>0</v>
      </c>
      <c r="CB132" s="1">
        <v>18.661676503187252</v>
      </c>
      <c r="CD132" s="1"/>
      <c r="CE132" s="1"/>
      <c r="CF132" s="1"/>
      <c r="CH132">
        <v>2.9916933381942865</v>
      </c>
      <c r="CI132">
        <v>0.51787620455159877</v>
      </c>
      <c r="CJ132">
        <v>3.0718694392358712</v>
      </c>
      <c r="CK132">
        <v>2.8899483204217633</v>
      </c>
      <c r="CM132">
        <v>0.70200829453182056</v>
      </c>
      <c r="CN132">
        <v>0</v>
      </c>
      <c r="CO132">
        <v>0.71216876820633224</v>
      </c>
      <c r="CP132">
        <v>0</v>
      </c>
      <c r="CR132" s="5">
        <v>-4.3825529508381145E-3</v>
      </c>
      <c r="CS132" s="5">
        <v>-0.10987732100404246</v>
      </c>
      <c r="CT132" s="5">
        <v>4.3177209743459279</v>
      </c>
      <c r="CU132" s="5">
        <v>2.8899483204217633</v>
      </c>
    </row>
    <row r="133" spans="1:108">
      <c r="A133">
        <v>36</v>
      </c>
      <c r="B133">
        <f t="shared" si="19"/>
        <v>0.55000000000000004</v>
      </c>
      <c r="C133">
        <v>4</v>
      </c>
      <c r="D133">
        <v>21226682.304000001</v>
      </c>
      <c r="E133">
        <v>111546966.23349001</v>
      </c>
      <c r="F133">
        <v>-1189.2850000000001</v>
      </c>
      <c r="G133">
        <v>21226681.765000001</v>
      </c>
      <c r="H133">
        <v>86919710.54648</v>
      </c>
      <c r="J133" s="5">
        <f>'sv04'!$AA$3+'sv04'!$Z$3*($B133)+'sv04'!$Y$3*($B133)^2+'sv04'!$X$3*($B133)^3+'sv04'!$W$3*($B133)^4+'sv04'!$V$3*($B133)^5+'sv04'!$U$3*($B133)^6+'sv04'!$T$3*($B133)^7+'sv04'!$S$3*($B133)^8</f>
        <v>22393.944828383293</v>
      </c>
      <c r="K133" s="5">
        <f>'sv04'!$AA$4+'sv04'!$Z$4*($B133)+'sv04'!$Y$4*($B133)^2+'sv04'!$X$4*($B133)^3+'sv04'!$W$4*($B133)^4+'sv04'!$V$4*($B133)^5+'sv04'!$U$4*($B133)^6+'sv04'!$T$4*($B133)^7+'sv04'!$S$4*($B133)^8</f>
        <v>-6882.5654503107717</v>
      </c>
      <c r="L133" s="5">
        <f>'sv04'!$AA$5+'sv04'!$Z$5*($B133)+'sv04'!$Y$5*($B133)^2+'sv04'!$X$5*($B133)^3+'sv04'!$W$5*($B133)^4+'sv04'!$V$5*($B133)^5+'sv04'!$U$5*($B133)^6+'sv04'!$T$5*($B133)^7+'sv04'!$S$5*($B133)^8</f>
        <v>12676.951476395032</v>
      </c>
      <c r="M133" s="5">
        <f>'sv04'!$AA$6+'sv04'!$Z$6*$B133+'sv04'!$Y$6*$B133^2+'sv04'!$X$6*$B133^3+'sv04'!$W$6*$B133^4+'sv04'!$V$6*$B133^5+'sv04'!$U$6*$B133^6+'sv04'!$T$6*$B133^7+'sv04'!$S$6*$B133^8</f>
        <v>86.603729613693133</v>
      </c>
      <c r="O133">
        <f>SQRT(($J133*1000-coord!$B$2)^2+($K133*1000-coord!$C$2)^2+($L133*1000-coord!$D$2)^2)/coord!$B$6</f>
        <v>7.0891306595847928E-2</v>
      </c>
      <c r="Q133" s="5">
        <f>'sv04'!$AA$3+'sv04'!$Z$3*($B133-$O133/3600)+'sv04'!$Y$3*($B133-$O133/3600)^2+'sv04'!$X$3*($B133-$O133/3600)^3+'sv04'!$W$3*($B133-$O133/3600)^4+'sv04'!$V$3*($B133-$O133/3600)^5+'sv04'!$U$3*($B133-$O133/3600)^6+'sv04'!$T$3*($B133-$O133/3600)^7+'sv04'!$S$3*($B133-$O133/3600)^8+K133*coord!$B$7*O133</f>
        <v>22393.796517074381</v>
      </c>
      <c r="R133" s="5">
        <f>'sv04'!$AA$4+'sv04'!$Z$4*($B133-$O133/3600)+'sv04'!$Y$4*($B133-$O133/3600)^2+'sv04'!$X$4*($B133-$O133/3600)^3+'sv04'!$W$4*($B133-$O133/3600)^4+'sv04'!$V$4*($B133-$O133/3600)^5+'sv04'!$U$4*($B133-$O133/3600)^6+'sv04'!$T$4*($B133-$O133/3600)^7+'sv04'!$S$4*($B133-$O133/3600)^8-J133*coord!$B$7*O133</f>
        <v>-6882.7121856119493</v>
      </c>
      <c r="S133" s="5">
        <f>'sv04'!$AA$5+'sv04'!$Z$5*($B133-$O133/3600)+'sv04'!$Y$5*($B133-$O133/3600)^2+'sv04'!$X$5*($B133-$O133/3600)^3+'sv04'!$W$5*($B133-$O133/3600)^4+'sv04'!$V$5*($B133-$O133/3600)^5+'sv04'!$U$5*($B133-$O133/3600)^6+'sv04'!$T$5*($B133-$O133/3600)^7+'sv04'!$S$5*($B133-$O133/3600)^8</f>
        <v>12677.128840764099</v>
      </c>
      <c r="T133">
        <f>coord!$B$6*M133/10^6</f>
        <v>25963.144972856451</v>
      </c>
      <c r="U133">
        <f>SQRT(($Q133*1000+coord!$B$7*$O133*$R133*1000-coord!$B$2)^2+($R133*1000-coord!$B$7*$O133*$Q133*1000-coord!$C$2)^2+($S133*1000-coord!$D$2)^2)</f>
        <v>21252687.773453694</v>
      </c>
      <c r="V133" s="3">
        <f>$D133-(U133-$T133)-coord!$E$2</f>
        <v>-42.324480835348368</v>
      </c>
      <c r="W133" s="3"/>
      <c r="Y133">
        <f>-(Q133*1000-coord!$B$2)/$U133</f>
        <v>-0.84718312046930655</v>
      </c>
      <c r="Z133">
        <f>-(R133*1000-coord!$C$2)/$U133</f>
        <v>0.36735506031213</v>
      </c>
      <c r="AA133">
        <f>-(S133*1000-coord!$D$2)/$U133</f>
        <v>-0.3838357130834773</v>
      </c>
      <c r="AB133">
        <v>1</v>
      </c>
      <c r="AD133">
        <v>1</v>
      </c>
      <c r="AE133">
        <v>1</v>
      </c>
      <c r="AF133">
        <v>1</v>
      </c>
      <c r="AG133">
        <v>1</v>
      </c>
      <c r="AH133">
        <v>1</v>
      </c>
      <c r="AI133">
        <v>1</v>
      </c>
      <c r="AJ133">
        <v>1</v>
      </c>
      <c r="AL133">
        <v>-3.2123307476873553</v>
      </c>
      <c r="AM133">
        <v>-0.22569197377901376</v>
      </c>
      <c r="AN133">
        <v>-3.418911333957432</v>
      </c>
      <c r="AO133">
        <v>7</v>
      </c>
      <c r="AQ133">
        <v>2.0082401699655792</v>
      </c>
      <c r="AR133">
        <v>0.3196839432857157</v>
      </c>
      <c r="AS133">
        <v>2.0559202058964496</v>
      </c>
      <c r="AT133">
        <v>2.0788986629311981</v>
      </c>
      <c r="AV133">
        <v>-73.272669944912195</v>
      </c>
      <c r="AX133">
        <v>9.4553286780680708</v>
      </c>
      <c r="BA133">
        <f>SQRT(($Q133*1000+coord!$B$7*$O133*$R133*1000-coord!$B$2-AX$130)^2+($R133*1000-coord!$B$7*$O133*$Q133*1000-coord!$C$2-AX$131)^2+($S133*1000-coord!$D$2-AX$132)^2)</f>
        <v>21252631.932633508</v>
      </c>
      <c r="BB133" s="3">
        <f t="shared" si="26"/>
        <v>4.0610106724236914</v>
      </c>
      <c r="BD133" s="1"/>
      <c r="BE133" s="1"/>
      <c r="BF133" s="1"/>
      <c r="BX133">
        <v>0</v>
      </c>
      <c r="BY133">
        <v>0</v>
      </c>
      <c r="BZ133">
        <v>0</v>
      </c>
      <c r="CA133">
        <v>1</v>
      </c>
      <c r="CD133" s="1"/>
      <c r="CE133" s="1"/>
      <c r="CF133" s="1"/>
      <c r="CH133">
        <v>2.0082401699655792</v>
      </c>
      <c r="CI133">
        <v>0.3196839432857157</v>
      </c>
      <c r="CJ133">
        <v>2.0559202058964496</v>
      </c>
      <c r="CK133">
        <v>2.0788986629311981</v>
      </c>
      <c r="CM133">
        <v>0</v>
      </c>
      <c r="CN133">
        <v>0</v>
      </c>
      <c r="CO133">
        <v>0</v>
      </c>
      <c r="CP133">
        <v>1</v>
      </c>
      <c r="CR133" s="5">
        <v>-3.1491503098994844E-3</v>
      </c>
      <c r="CS133" s="5">
        <v>-0.10110927264664077</v>
      </c>
      <c r="CT133" s="5">
        <v>2.8899483204217642</v>
      </c>
      <c r="CU133" s="5">
        <v>2.0788986629311981</v>
      </c>
    </row>
    <row r="134" spans="1:108">
      <c r="A134">
        <v>36</v>
      </c>
      <c r="B134">
        <f t="shared" si="19"/>
        <v>0.55000000000000004</v>
      </c>
      <c r="C134">
        <v>20</v>
      </c>
      <c r="D134">
        <v>23255363.252</v>
      </c>
      <c r="E134">
        <v>122207752.41248</v>
      </c>
      <c r="F134">
        <v>-3140.5079999999998</v>
      </c>
      <c r="G134">
        <v>23255362.423</v>
      </c>
      <c r="H134">
        <v>95226813.711449996</v>
      </c>
      <c r="J134" s="5">
        <f>'sv20'!$AA$3+'sv20'!$Z$3*($B134)+'sv20'!$Y$3*($B134)^2+'sv20'!$X$3*($B134)^3+'sv20'!$W$3*($B134)^4+'sv20'!$V$3*($B134)^5+'sv20'!$U$3*($B134)^6+'sv20'!$T$3*($B134)^7+'sv20'!$S$3*($B134)^8</f>
        <v>14167.723685939383</v>
      </c>
      <c r="K134" s="5">
        <f>'sv20'!$AA$4+'sv20'!$Z$4*($B134)+'sv20'!$Y$4*($B134)^2+'sv20'!$X$4*($B134)^3+'sv20'!$W$4*($B134)^4+'sv20'!$V$4*($B134)^5+'sv20'!$U$4*($B134)^6+'sv20'!$T$4*($B134)^7+'sv20'!$S$4*($B134)^8</f>
        <v>22041.883799171992</v>
      </c>
      <c r="L134" s="5">
        <f>'sv20'!$AA$5+'sv20'!$Z$5*($B134)+'sv20'!$Y$5*($B134)^2+'sv20'!$X$5*($B134)^3+'sv20'!$W$5*($B134)^4+'sv20'!$V$5*($B134)^5+'sv20'!$U$5*($B134)^6+'sv20'!$T$5*($B134)^7+'sv20'!$S$5*($B134)^8</f>
        <v>4369.034157663923</v>
      </c>
      <c r="M134" s="5">
        <f>'sv20'!$AA$6+'sv20'!$Z$6*$B134+'sv20'!$Y$6*$B134^2+'sv20'!$X$6*$B134^3+'sv20'!$W$6*$B134^4+'sv20'!$V$6*$B134^5+'sv20'!$U$6*$B134^6+'sv20'!$T$6*$B134^7+'sv20'!$S$6*$B134^8</f>
        <v>55.817674031701976</v>
      </c>
      <c r="O134">
        <f>SQRT(($J134*1000-coord!$B$2)^2+($K134*1000-coord!$C$2)^2+($L134*1000-coord!$D$2)^2)/coord!$B$6</f>
        <v>7.7627282425357769E-2</v>
      </c>
      <c r="Q134" s="5">
        <f>'sv20'!$AA$3+'sv20'!$Z$3*($B134-$O134/3600)+'sv20'!$Y$3*($B134-$O134/3600)^2+'sv20'!$X$3*($B134-$O134/3600)^3+'sv20'!$W$3*($B134-$O134/3600)^4+'sv20'!$V$3*($B134-$O134/3600)^5+'sv20'!$U$3*($B134-$O134/3600)^6+'sv20'!$T$3*($B134-$O134/3600)^7+'sv20'!$S$3*($B134-$O134/3600)^8+K134*coord!$B$7*O134</f>
        <v>14167.853340820957</v>
      </c>
      <c r="R134" s="5">
        <f>'sv20'!$AA$4+'sv20'!$Z$4*($B134-$O134/3600)+'sv20'!$Y$4*($B134-$O134/3600)^2+'sv20'!$X$4*($B134-$O134/3600)^3+'sv20'!$W$4*($B134-$O134/3600)^4+'sv20'!$V$4*($B134-$O134/3600)^5+'sv20'!$U$4*($B134-$O134/3600)^6+'sv20'!$T$4*($B134-$O134/3600)^7+'sv20'!$S$4*($B134-$O134/3600)^8-J134*coord!$B$7*O134</f>
        <v>22041.751922046915</v>
      </c>
      <c r="S134" s="5">
        <f>'sv20'!$AA$5+'sv20'!$Z$5*($B134-$O134/3600)+'sv20'!$Y$5*($B134-$O134/3600)^2+'sv20'!$X$5*($B134-$O134/3600)^3+'sv20'!$W$5*($B134-$O134/3600)^4+'sv20'!$V$5*($B134-$O134/3600)^5+'sv20'!$U$5*($B134-$O134/3600)^6+'sv20'!$T$5*($B134-$O134/3600)^7+'sv20'!$S$5*($B134-$O134/3600)^8</f>
        <v>4369.2712419074678</v>
      </c>
      <c r="T134">
        <f>coord!$B$6*M134/10^6</f>
        <v>16733.717697806707</v>
      </c>
      <c r="U134">
        <f>SQRT(($Q134*1000+coord!$B$7*$O134*$R134*1000-coord!$B$2)^2+($R134*1000-coord!$B$7*$O134*$Q134*1000-coord!$C$2)^2+($S134*1000-coord!$D$2)^2)</f>
        <v>23271986.744205542</v>
      </c>
      <c r="V134" s="3">
        <f>$D134-(U134-$T134)-coord!$E$2</f>
        <v>110.22549226507545</v>
      </c>
      <c r="W134" s="3"/>
      <c r="Y134">
        <f>-(Q134*1000-coord!$B$2)/$U134</f>
        <v>-0.42020371004447266</v>
      </c>
      <c r="Z134">
        <f>-(R134*1000-coord!$C$2)/$U134</f>
        <v>-0.90740777489076441</v>
      </c>
      <c r="AA134">
        <f>-(S134*1000-coord!$D$2)/$U134</f>
        <v>6.4591405127866382E-3</v>
      </c>
      <c r="AB134">
        <v>1</v>
      </c>
      <c r="BA134">
        <f>SQRT(($Q134*1000+coord!$B$7*$O134*$R134*1000-coord!$B$2-AX$130)^2+($R134*1000-coord!$B$7*$O134*$Q134*1000-coord!$C$2-AX$131)^2+($S134*1000-coord!$D$2-AX$132)^2)</f>
        <v>23272084.290587243</v>
      </c>
      <c r="BB134" s="3">
        <f t="shared" si="26"/>
        <v>3.2237818862234064</v>
      </c>
      <c r="BD134" s="1"/>
      <c r="BE134" s="1"/>
      <c r="BF134" s="1"/>
      <c r="CD134" s="1"/>
      <c r="CE134" s="1"/>
      <c r="CF134" s="1"/>
    </row>
    <row r="135" spans="1:108">
      <c r="A135">
        <v>36</v>
      </c>
      <c r="B135">
        <f t="shared" si="19"/>
        <v>0.55000000000000004</v>
      </c>
      <c r="C135">
        <v>13</v>
      </c>
      <c r="D135">
        <v>20187917.513</v>
      </c>
      <c r="E135">
        <v>106088221.44349</v>
      </c>
      <c r="F135">
        <v>-836.75800000000004</v>
      </c>
      <c r="G135">
        <v>20187915.646000002</v>
      </c>
      <c r="H135">
        <v>82666138.558479995</v>
      </c>
      <c r="J135" s="5">
        <f>'sv13'!$AA$3+'sv13'!$Z$3*($B135)+'sv13'!$Y$3*($B135)^2+'sv13'!$X$3*($B135)^3+'sv13'!$W$3*($B135)^4+'sv13'!$V$3*($B135)^5+'sv13'!$U$3*($B135)^6+'sv13'!$T$3*($B135)^7+'sv13'!$S$3*($B135)^8</f>
        <v>13741.52069559441</v>
      </c>
      <c r="K135" s="5">
        <f>'sv13'!$AA$4+'sv13'!$Z$4*($B135)+'sv13'!$Y$4*($B135)^2+'sv13'!$X$4*($B135)^3+'sv13'!$W$4*($B135)^4+'sv13'!$V$4*($B135)^5+'sv13'!$U$4*($B135)^6+'sv13'!$T$4*($B135)^7+'sv13'!$S$4*($B135)^8</f>
        <v>5798.3914168304309</v>
      </c>
      <c r="L135" s="5">
        <f>'sv13'!$AA$5+'sv13'!$Z$5*($B135)+'sv13'!$Y$5*($B135)^2+'sv13'!$X$5*($B135)^3+'sv13'!$W$5*($B135)^4+'sv13'!$V$5*($B135)^5+'sv13'!$U$5*($B135)^6+'sv13'!$T$5*($B135)^7+'sv13'!$S$5*($B135)^8</f>
        <v>21840.601658327239</v>
      </c>
      <c r="M135" s="5">
        <f>'sv13'!$AA$6+'sv13'!$Z$6*$B135+'sv13'!$Y$6*$B135^2+'sv13'!$X$6*$B135^3+'sv13'!$W$6*$B135^4+'sv13'!$V$6*$B135^5+'sv13'!$U$6*$B135^6+'sv13'!$T$6*$B135^7+'sv13'!$S$6*$B135^8</f>
        <v>304.21932013348527</v>
      </c>
      <c r="O135">
        <f>SQRT(($J135*1000-coord!$B$2)^2+($K135*1000-coord!$C$2)^2+($L135*1000-coord!$D$2)^2)/coord!$B$6</f>
        <v>6.7643933213086205E-2</v>
      </c>
      <c r="Q135" s="5">
        <f>'sv13'!$AA$3+'sv13'!$Z$3*($B135-$O135/3600)+'sv13'!$Y$3*($B135-$O135/3600)^2+'sv13'!$X$3*($B135-$O135/3600)^3+'sv13'!$W$3*($B135-$O135/3600)^4+'sv13'!$V$3*($B135-$O135/3600)^5+'sv13'!$U$3*($B135-$O135/3600)^6+'sv13'!$T$3*($B135-$O135/3600)^7+'sv13'!$S$3*($B135-$O135/3600)^8+K135*coord!$B$7*O135</f>
        <v>13741.669536323836</v>
      </c>
      <c r="R135" s="5">
        <f>'sv13'!$AA$4+'sv13'!$Z$4*($B135-$O135/3600)+'sv13'!$Y$4*($B135-$O135/3600)^2+'sv13'!$X$4*($B135-$O135/3600)^3+'sv13'!$W$4*($B135-$O135/3600)^4+'sv13'!$V$4*($B135-$O135/3600)^5+'sv13'!$U$4*($B135-$O135/3600)^6+'sv13'!$T$4*($B135-$O135/3600)^7+'sv13'!$S$4*($B135-$O135/3600)^8-J135*coord!$B$7*O135</f>
        <v>5798.1774686600038</v>
      </c>
      <c r="S135" s="5">
        <f>'sv13'!$AA$5+'sv13'!$Z$5*($B135-$O135/3600)+'sv13'!$Y$5*($B135-$O135/3600)^2+'sv13'!$X$5*($B135-$O135/3600)^3+'sv13'!$W$5*($B135-$O135/3600)^4+'sv13'!$V$5*($B135-$O135/3600)^5+'sv13'!$U$5*($B135-$O135/3600)^6+'sv13'!$T$5*($B135-$O135/3600)^7+'sv13'!$S$5*($B135-$O135/3600)^8</f>
        <v>21840.565248712639</v>
      </c>
      <c r="T135">
        <f>coord!$B$6*M135/10^6</f>
        <v>91202.657753906431</v>
      </c>
      <c r="U135">
        <f>SQRT(($Q135*1000+coord!$B$7*$O135*$R135*1000-coord!$B$2)^2+($R135*1000-coord!$B$7*$O135*$Q135*1000-coord!$C$2)^2+($S135*1000-coord!$D$2)^2)</f>
        <v>20279124.035649806</v>
      </c>
      <c r="V135" s="3">
        <f>$D135-(U135-$T135)-coord!$E$2</f>
        <v>-3.864895898848772</v>
      </c>
      <c r="W135" s="3"/>
      <c r="Y135">
        <f>-(Q135*1000-coord!$B$2)/$U135</f>
        <v>-0.46120292716204314</v>
      </c>
      <c r="Z135">
        <f>-(R135*1000-coord!$C$2)/$U135</f>
        <v>-0.24032632015526986</v>
      </c>
      <c r="AA135">
        <f>-(S135*1000-coord!$D$2)/$U135</f>
        <v>-0.85412845959042061</v>
      </c>
      <c r="AB135">
        <v>1</v>
      </c>
      <c r="BA135">
        <f>SQRT(($Q135*1000+coord!$B$7*$O135*$R135*1000-coord!$B$2-AX$130)^2+($R135*1000-coord!$B$7*$O135*$Q135*1000-coord!$C$2-AX$131)^2+($S135*1000-coord!$D$2-AX$132)^2)</f>
        <v>20279107.696891502</v>
      </c>
      <c r="BB135" s="3">
        <f t="shared" si="26"/>
        <v>3.0185337277983137</v>
      </c>
      <c r="BD135" s="1"/>
      <c r="BE135" s="1"/>
      <c r="BF135" s="1"/>
      <c r="CD135" s="1"/>
      <c r="CE135" s="1"/>
      <c r="CF135" s="1"/>
    </row>
    <row r="136" spans="1:108">
      <c r="A136">
        <v>36</v>
      </c>
      <c r="B136">
        <f t="shared" si="19"/>
        <v>0.55000000000000004</v>
      </c>
      <c r="C136">
        <v>7</v>
      </c>
      <c r="D136">
        <v>21637874.940000001</v>
      </c>
      <c r="E136">
        <v>113707806.74549</v>
      </c>
      <c r="F136">
        <v>2710.53</v>
      </c>
      <c r="G136">
        <v>21637873.993999999</v>
      </c>
      <c r="H136">
        <v>88603486.610479996</v>
      </c>
      <c r="J136" s="5">
        <f>'sv07'!$AA$3+'sv07'!$Z$3*($B136)+'sv07'!$Y$3*($B136)^2+'sv07'!$X$3*($B136)^3+'sv07'!$W$3*($B136)^4+'sv07'!$V$3*($B136)^5+'sv07'!$U$3*($B136)^6+'sv07'!$T$3*($B136)^7+'sv07'!$S$3*($B136)^8</f>
        <v>25283.034620516741</v>
      </c>
      <c r="K136" s="5">
        <f>'sv07'!$AA$4+'sv07'!$Z$4*($B136)+'sv07'!$Y$4*($B136)^2+'sv07'!$X$4*($B136)^3+'sv07'!$W$4*($B136)^4+'sv07'!$V$4*($B136)^5+'sv07'!$U$4*($B136)^6+'sv07'!$T$4*($B136)^7+'sv07'!$S$4*($B136)^8</f>
        <v>6482.7295448931991</v>
      </c>
      <c r="L136" s="5">
        <f>'sv07'!$AA$5+'sv07'!$Z$5*($B136)+'sv07'!$Y$5*($B136)^2+'sv07'!$X$5*($B136)^3+'sv07'!$W$5*($B136)^4+'sv07'!$V$5*($B136)^5+'sv07'!$U$5*($B136)^6+'sv07'!$T$5*($B136)^7+'sv07'!$S$5*($B136)^8</f>
        <v>5372.5613070160307</v>
      </c>
      <c r="M136" s="5">
        <f>'sv07'!$AA$6+'sv07'!$Z$6*$B136+'sv07'!$Y$6*$B136^2+'sv07'!$X$6*$B136^3+'sv07'!$W$6*$B136^4+'sv07'!$V$6*$B136^5+'sv07'!$U$6*$B136^6+'sv07'!$T$6*$B136^7+'sv07'!$S$6*$B136^8</f>
        <v>-0.63795756831780204</v>
      </c>
      <c r="O136">
        <f>SQRT(($J136*1000-coord!$B$2)^2+($K136*1000-coord!$C$2)^2+($L136*1000-coord!$D$2)^2)/coord!$B$6</f>
        <v>7.2175321557920974E-2</v>
      </c>
      <c r="Q136" s="5">
        <f>'sv07'!$AA$3+'sv07'!$Z$3*($B136-$O136/3600)+'sv07'!$Y$3*($B136-$O136/3600)^2+'sv07'!$X$3*($B136-$O136/3600)^3+'sv07'!$W$3*($B136-$O136/3600)^4+'sv07'!$V$3*($B136-$O136/3600)^5+'sv07'!$U$3*($B136-$O136/3600)^6+'sv07'!$T$3*($B136-$O136/3600)^7+'sv07'!$S$3*($B136-$O136/3600)^8+K136*coord!$B$7*O136</f>
        <v>25283.119292003455</v>
      </c>
      <c r="R136" s="5">
        <f>'sv07'!$AA$4+'sv07'!$Z$4*($B136-$O136/3600)+'sv07'!$Y$4*($B136-$O136/3600)^2+'sv07'!$X$4*($B136-$O136/3600)^3+'sv07'!$W$4*($B136-$O136/3600)^4+'sv07'!$V$4*($B136-$O136/3600)^5+'sv07'!$U$4*($B136-$O136/3600)^6+'sv07'!$T$4*($B136-$O136/3600)^7+'sv07'!$S$4*($B136-$O136/3600)^8-J136*coord!$B$7*O136</f>
        <v>6482.5856281592023</v>
      </c>
      <c r="S136" s="5">
        <f>'sv07'!$AA$5+'sv07'!$Z$5*($B136-$O136/3600)+'sv07'!$Y$5*($B136-$O136/3600)^2+'sv07'!$X$5*($B136-$O136/3600)^3+'sv07'!$W$5*($B136-$O136/3600)^4+'sv07'!$V$5*($B136-$O136/3600)^5+'sv07'!$U$5*($B136-$O136/3600)^6+'sv07'!$T$5*($B136-$O136/3600)^7+'sv07'!$S$5*($B136-$O136/3600)^8</f>
        <v>5372.33817814538</v>
      </c>
      <c r="T136">
        <f>coord!$B$6*M136/10^6</f>
        <v>-191.25486750569681</v>
      </c>
      <c r="U136">
        <f>SQRT(($Q136*1000+coord!$B$7*$O136*$R136*1000-coord!$B$2)^2+($R136*1000-coord!$B$7*$O136*$Q136*1000-coord!$C$2)^2+($S136*1000-coord!$D$2)^2)</f>
        <v>21637651.822182994</v>
      </c>
      <c r="V136" s="3">
        <f>$D136-(U136-$T136)-coord!$E$2</f>
        <v>31.862949501723051</v>
      </c>
      <c r="W136" s="3" t="s">
        <v>127</v>
      </c>
      <c r="X136" s="1" t="s">
        <v>128</v>
      </c>
      <c r="Y136">
        <f>-(Q136*1000-coord!$B$2)/$U136</f>
        <v>-0.96564272745079527</v>
      </c>
      <c r="Z136">
        <f>-(R136*1000-coord!$C$2)/$U136</f>
        <v>-0.25686777200385053</v>
      </c>
      <c r="AA136">
        <f>-(S136*1000-coord!$D$2)/$U136</f>
        <v>-3.9410464261705976E-2</v>
      </c>
      <c r="AB136">
        <v>1</v>
      </c>
      <c r="BA136">
        <f>SQRT(($Q136*1000+coord!$B$7*$O136*$R136*1000-coord!$B$2-AX$130)^2+($R136*1000-coord!$B$7*$O136*$Q136*1000-coord!$C$2-AX$131)^2+($S136*1000-coord!$D$2-AX$132)^2)</f>
        <v>21637679.749710415</v>
      </c>
      <c r="BB136" s="3">
        <f t="shared" si="26"/>
        <v>-5.5199065965677789</v>
      </c>
      <c r="BC136" s="3" t="s">
        <v>127</v>
      </c>
      <c r="BD136" s="1" t="s">
        <v>128</v>
      </c>
      <c r="BE136" s="1"/>
      <c r="BF136" s="1"/>
      <c r="CD136" s="1"/>
      <c r="CE136" s="1"/>
      <c r="CF136" s="1"/>
    </row>
    <row r="137" spans="1:108">
      <c r="V137" s="3"/>
      <c r="W137" s="3">
        <f>AVERAGE($V130:$V136)</f>
        <v>-10.4675242778446</v>
      </c>
      <c r="X137" s="1">
        <f>SQRT(DEVSQ($V130:$V136)/6)</f>
        <v>76.754169333793385</v>
      </c>
      <c r="BB137" s="3"/>
      <c r="BC137" s="3">
        <f>AVERAGE($BB130:$BB136)</f>
        <v>1.7253773044347196E-4</v>
      </c>
      <c r="BD137" s="1">
        <f>SQRT(DEVSQ($BB130:$BB136)/6)</f>
        <v>4.9176006719584224</v>
      </c>
      <c r="BE137" s="1"/>
      <c r="BF137" s="1"/>
      <c r="CD137" s="1"/>
      <c r="CE137" s="1"/>
      <c r="CF137" s="1"/>
    </row>
    <row r="138" spans="1:108">
      <c r="A138">
        <v>38</v>
      </c>
      <c r="B138">
        <f t="shared" si="19"/>
        <v>0.56666666666666665</v>
      </c>
      <c r="C138">
        <v>2</v>
      </c>
      <c r="D138">
        <v>22428235.438999999</v>
      </c>
      <c r="E138">
        <v>117861179.69948</v>
      </c>
      <c r="F138">
        <v>2020.4449999999999</v>
      </c>
      <c r="G138">
        <v>22428232.931000002</v>
      </c>
      <c r="H138">
        <v>91839869.803470001</v>
      </c>
      <c r="J138" s="5">
        <f>'sv02'!$AA$3+'sv02'!$Z$3*($B138)+'sv02'!$Y$3*($B138)^2+'sv02'!$X$3*($B138)^3+'sv02'!$W$3*($B138)^4+'sv02'!$V$3*($B138)^5+'sv02'!$U$3*($B138)^6+'sv02'!$T$3*($B138)^7+'sv02'!$S$3*($B138)^8</f>
        <v>8594.1807534999316</v>
      </c>
      <c r="K138" s="5">
        <f>'sv02'!$AA$4+'sv02'!$Z$4*($B138)+'sv02'!$Y$4*($B138)^2+'sv02'!$X$4*($B138)^3+'sv02'!$W$4*($B138)^4+'sv02'!$V$4*($B138)^5+'sv02'!$U$4*($B138)^6+'sv02'!$T$4*($B138)^7+'sv02'!$S$4*($B138)^8</f>
        <v>-14311.539699256811</v>
      </c>
      <c r="L138" s="5">
        <f>'sv02'!$AA$5+'sv02'!$Z$5*($B138)+'sv02'!$Y$5*($B138)^2+'sv02'!$X$5*($B138)^3+'sv02'!$W$5*($B138)^4+'sv02'!$V$5*($B138)^5+'sv02'!$U$5*($B138)^6+'sv02'!$T$5*($B138)^7+'sv02'!$S$5*($B138)^8</f>
        <v>20540.649507272108</v>
      </c>
      <c r="M138" s="5">
        <f>'sv02'!$AA$6+'sv02'!$Z$6*$B138+'sv02'!$Y$6*$B138^2+'sv02'!$X$6*$B138^3+'sv02'!$W$6*$B138^4+'sv02'!$V$6*$B138^5+'sv02'!$U$6*$B138^6+'sv02'!$T$6*$B138^7+'sv02'!$S$6*$B138^8</f>
        <v>257.59345960692946</v>
      </c>
      <c r="O138">
        <f>SQRT(($J138*1000-coord!$B$2)^2+($K138*1000-coord!$C$2)^2+($L138*1000-coord!$D$2)^2)/coord!$B$6</f>
        <v>7.5070303598559429E-2</v>
      </c>
      <c r="Q138" s="5">
        <f>'sv02'!$AA$3+'sv02'!$Z$3*($B138-$O138/3600)+'sv02'!$Y$3*($B138-$O138/3600)^2+'sv02'!$X$3*($B138-$O138/3600)^3+'sv02'!$W$3*($B138-$O138/3600)^4+'sv02'!$V$3*($B138-$O138/3600)^5+'sv02'!$U$3*($B138-$O138/3600)^6+'sv02'!$T$3*($B138-$O138/3600)^7+'sv02'!$S$3*($B138-$O138/3600)^8+K138*coord!$B$7*O138</f>
        <v>8593.9063637247855</v>
      </c>
      <c r="R138" s="5">
        <f>'sv02'!$AA$4+'sv02'!$Z$4*($B138-$O138/3600)+'sv02'!$Y$4*($B138-$O138/3600)^2+'sv02'!$X$4*($B138-$O138/3600)^3+'sv02'!$W$4*($B138-$O138/3600)^4+'sv02'!$V$4*($B138-$O138/3600)^5+'sv02'!$U$4*($B138-$O138/3600)^6+'sv02'!$T$4*($B138-$O138/3600)^7+'sv02'!$S$4*($B138-$O138/3600)^8-J138*coord!$B$7*O138</f>
        <v>-14311.612802284206</v>
      </c>
      <c r="S138" s="5">
        <f>'sv02'!$AA$5+'sv02'!$Z$5*($B138-$O138/3600)+'sv02'!$Y$5*($B138-$O138/3600)^2+'sv02'!$X$5*($B138-$O138/3600)^3+'sv02'!$W$5*($B138-$O138/3600)^4+'sv02'!$V$5*($B138-$O138/3600)^5+'sv02'!$U$5*($B138-$O138/3600)^6+'sv02'!$T$5*($B138-$O138/3600)^7+'sv02'!$S$5*($B138-$O138/3600)^8</f>
        <v>20540.716728555686</v>
      </c>
      <c r="T138">
        <f>coord!$B$6*M138/10^6</f>
        <v>77224.576420285099</v>
      </c>
      <c r="U138">
        <f>SQRT(($Q138*1000+coord!$B$7*$O138*$R138*1000-coord!$B$2)^2+($R138*1000-coord!$B$7*$O138*$Q138*1000-coord!$C$2)^2+($S138*1000-coord!$D$2)^2)</f>
        <v>22505574.123426005</v>
      </c>
      <c r="V138" s="3">
        <f>$D138-(U138-$T138)-coord!$E$2</f>
        <v>-114.10800572112203</v>
      </c>
      <c r="W138" s="3"/>
      <c r="Y138">
        <f>-(Q138*1000-coord!$B$2)/$U138</f>
        <v>-0.18684385343219392</v>
      </c>
      <c r="Z138">
        <f>-(R138*1000-coord!$C$2)/$U138</f>
        <v>0.67699597139469969</v>
      </c>
      <c r="AA138">
        <f>-(S138*1000-coord!$D$2)/$U138</f>
        <v>-0.71187379474933399</v>
      </c>
      <c r="AB138">
        <v>1</v>
      </c>
      <c r="AD138">
        <f t="array" ref="AD138:AJ141">TRANSPOSE(Y138:AB144)</f>
        <v>-0.18684385343219392</v>
      </c>
      <c r="AE138">
        <v>-0.16122137529272926</v>
      </c>
      <c r="AF138">
        <v>-0.17553576621933364</v>
      </c>
      <c r="AG138">
        <v>-0.85109554659711628</v>
      </c>
      <c r="AH138">
        <v>-0.41938427844473875</v>
      </c>
      <c r="AI138">
        <v>-0.45573410155715105</v>
      </c>
      <c r="AJ138">
        <v>-0.96504291417735077</v>
      </c>
      <c r="AL138">
        <f t="array" ref="AL138:AO141">MMULT(AD138:AJ141,Y138:AB144)</f>
        <v>2.1309639626089547</v>
      </c>
      <c r="AM138">
        <v>0.27331683602276163</v>
      </c>
      <c r="AN138">
        <v>1.1245290549406415</v>
      </c>
      <c r="AO138">
        <v>-3.2148578357206139</v>
      </c>
      <c r="AQ138">
        <f t="array" ref="AQ138:AT141">MINVERSE(AL138:AO141)</f>
        <v>2.6094391090289384</v>
      </c>
      <c r="AR138">
        <v>0.19602947055633471</v>
      </c>
      <c r="AS138">
        <v>1.6685405561910958</v>
      </c>
      <c r="AT138">
        <v>2.0189139069509143</v>
      </c>
      <c r="AV138">
        <f t="array" ref="AV138:AV141">MMULT(AD138:AJ141,V138:V144)</f>
        <v>-10.1863605348648</v>
      </c>
      <c r="AX138">
        <f t="array" ref="AX138:AX141">MMULT(AQ138:AT141,AV138:AV141)</f>
        <v>-3.3611555211136874</v>
      </c>
      <c r="BA138">
        <f>SQRT(($Q138*1000+coord!$B$7*$O138*$R138*1000-coord!$B$2-AX$138)^2+($R138*1000-coord!$B$7*$O138*$Q138*1000-coord!$C$2-AX$139)^2+($S138*1000-coord!$D$2-AX$140)^2)</f>
        <v>22505457.254123762</v>
      </c>
      <c r="BB138" s="3">
        <f>$D138-(BA138-$T138)-AX$141</f>
        <v>-6.8364225865221613</v>
      </c>
      <c r="BD138" s="1">
        <f>coord!$B$2+$AX138</f>
        <v>4388874.8096444793</v>
      </c>
      <c r="BE138" s="1">
        <f>coord!$C$2+$AX139</f>
        <v>924452.71123606374</v>
      </c>
      <c r="BF138" s="1">
        <f>coord!$D$2+$AX140</f>
        <v>4519641.5825786786</v>
      </c>
      <c r="BG138" s="1">
        <f>coord!$E$2+$AX141</f>
        <v>9.5977191083944433</v>
      </c>
      <c r="BH138" s="8">
        <f>lat($BD138,$BE138,$BF138)</f>
        <v>45.411684263474427</v>
      </c>
      <c r="BI138" s="8">
        <f>lon($BD138,$BE138,$BF138)</f>
        <v>11.894646595145121</v>
      </c>
      <c r="BJ138" s="6">
        <f>h($BD138,$BE138,$BF138)</f>
        <v>80.773841818794608</v>
      </c>
      <c r="BL138">
        <f>grado($BH138)</f>
        <v>45</v>
      </c>
      <c r="BM138">
        <f>MINUTOprimo($BH138)</f>
        <v>24</v>
      </c>
      <c r="BN138">
        <f>MINUTOsecondo($BH138)</f>
        <v>42.063348507938372</v>
      </c>
      <c r="BO138">
        <f>grado($BI138)</f>
        <v>11</v>
      </c>
      <c r="BP138">
        <f>MINUTOprimo($BI138)</f>
        <v>53</v>
      </c>
      <c r="BQ138">
        <f>MINUTOsecondo($BI138)</f>
        <v>40.727742522434056</v>
      </c>
      <c r="BS138">
        <f>-SIN(RADIANS(BH138))*COS(RADIANS(BI138))</f>
        <v>-0.69687769916792752</v>
      </c>
      <c r="BT138">
        <f>-SIN(RADIANS(BI138))</f>
        <v>-0.20611275795888082</v>
      </c>
      <c r="BU138">
        <f>COS(RADIANS(BH138))*COS(RADIANS(BI138))</f>
        <v>0.68693449717494837</v>
      </c>
      <c r="BW138" t="s">
        <v>93</v>
      </c>
      <c r="BX138">
        <f t="array" ref="BX138:BZ140">MINVERSE(BS138:BU140)</f>
        <v>-0.69687769916792763</v>
      </c>
      <c r="BY138">
        <v>-0.14678716216284216</v>
      </c>
      <c r="BZ138">
        <v>0.70200783573019676</v>
      </c>
      <c r="CA138">
        <v>0</v>
      </c>
      <c r="CB138" s="1">
        <f t="array" ref="CB138:CB140">MMULT(BX138:BZ140,AX138:AX140)</f>
        <v>57.012923502874628</v>
      </c>
      <c r="CD138" s="1">
        <f t="array" ref="CD138:CF138">TRANSPOSE(CB138:CB140)</f>
        <v>57.012923502874628</v>
      </c>
      <c r="CE138" s="1">
        <v>-114.28621380498045</v>
      </c>
      <c r="CF138" s="1">
        <v>18.653936817967555</v>
      </c>
      <c r="CH138">
        <f t="array" ref="CH138:CK141">MMULT(BX138:CA141,AQ138:AT141)</f>
        <v>-0.67590598742237318</v>
      </c>
      <c r="CI138">
        <v>0.12073836604465887</v>
      </c>
      <c r="CJ138">
        <v>0.61815013713339773</v>
      </c>
      <c r="CK138">
        <v>-4.7672355071348704E-3</v>
      </c>
      <c r="CM138">
        <f t="array" ref="CM138:CP141">TRANSPOSE(BX138:CA141)</f>
        <v>-0.69687769916792763</v>
      </c>
      <c r="CN138">
        <v>-0.20611275795888079</v>
      </c>
      <c r="CO138">
        <v>0.68693449717494848</v>
      </c>
      <c r="CP138">
        <v>0</v>
      </c>
      <c r="CR138" s="5">
        <f t="array" ref="CR138:CU141">MMULT(CH138:CK141,CM138:CP141)</f>
        <v>0.88724720717819661</v>
      </c>
      <c r="CS138" s="5">
        <v>0.25745874891105713</v>
      </c>
      <c r="CT138" s="5">
        <v>-6.605669551933091E-3</v>
      </c>
      <c r="CU138" s="5">
        <v>-4.7672355071348704E-3</v>
      </c>
      <c r="CW138" s="3">
        <f>SQRT(CR138+CS139)</f>
        <v>1.1826532004067989</v>
      </c>
      <c r="CX138" s="3">
        <f>CT140</f>
        <v>4.3471358958403385</v>
      </c>
      <c r="CY138" s="3">
        <f>CU141</f>
        <v>2.0902570556406475</v>
      </c>
      <c r="CZ138" s="3">
        <f>BD145</f>
        <v>4.8701906417551788</v>
      </c>
      <c r="DA138">
        <v>6</v>
      </c>
      <c r="DB138" s="6">
        <f>CY138*DA138*CZ138</f>
        <v>61.079702107462893</v>
      </c>
      <c r="DC138">
        <v>5.33</v>
      </c>
      <c r="DD138" s="6">
        <f>CZ138*DC138*SQRT(0.5*(CR138+CS139)+SQRT((0.5*(CR138-CS139))^2+CS138^2))</f>
        <v>26.19167476368526</v>
      </c>
    </row>
    <row r="139" spans="1:108">
      <c r="A139">
        <v>38</v>
      </c>
      <c r="B139">
        <f t="shared" si="19"/>
        <v>0.56666666666666665</v>
      </c>
      <c r="C139">
        <v>23</v>
      </c>
      <c r="D139">
        <v>21263517.905999999</v>
      </c>
      <c r="E139">
        <v>111740537.00349</v>
      </c>
      <c r="F139">
        <v>-2056.3829999999998</v>
      </c>
      <c r="G139">
        <v>21263514.624000002</v>
      </c>
      <c r="H139">
        <v>87070534.349470004</v>
      </c>
      <c r="J139" s="5">
        <f>'sv23'!$AA$3+'sv23'!$Z$3*($B139)+'sv23'!$Y$3*($B139)^2+'sv23'!$X$3*($B139)^3+'sv23'!$W$3*($B139)^4+'sv23'!$V$3*($B139)^5+'sv23'!$U$3*($B139)^6+'sv23'!$T$3*($B139)^7+'sv23'!$S$3*($B139)^8</f>
        <v>7834.7008856473331</v>
      </c>
      <c r="K139" s="5">
        <f>'sv23'!$AA$4+'sv23'!$Z$4*($B139)+'sv23'!$Y$4*($B139)^2+'sv23'!$X$4*($B139)^3+'sv23'!$W$4*($B139)^4+'sv23'!$V$4*($B139)^5+'sv23'!$U$4*($B139)^6+'sv23'!$T$4*($B139)^7+'sv23'!$S$4*($B139)^8</f>
        <v>13914.968134217335</v>
      </c>
      <c r="L139" s="5">
        <f>'sv23'!$AA$5+'sv23'!$Z$5*($B139)+'sv23'!$Y$5*($B139)^2+'sv23'!$X$5*($B139)^3+'sv23'!$W$5*($B139)^4+'sv23'!$V$5*($B139)^5+'sv23'!$U$5*($B139)^6+'sv23'!$T$5*($B139)^7+'sv23'!$S$5*($B139)^8</f>
        <v>21140.17906728882</v>
      </c>
      <c r="M139" s="5">
        <f>'sv23'!$AA$6+'sv23'!$Z$6*$B139+'sv23'!$Y$6*$B139^2+'sv23'!$X$6*$B139^3+'sv23'!$W$6*$B139^4+'sv23'!$V$6*$B139^5+'sv23'!$U$6*$B139^6+'sv23'!$T$6*$B139^7+'sv23'!$S$6*$B139^8</f>
        <v>370.05601670277417</v>
      </c>
      <c r="O139">
        <f>SQRT(($J139*1000-coord!$B$2)^2+($K139*1000-coord!$C$2)^2+($L139*1000-coord!$D$2)^2)/coord!$B$6</f>
        <v>7.1297573287443072E-2</v>
      </c>
      <c r="Q139" s="5">
        <f>'sv23'!$AA$3+'sv23'!$Z$3*($B139-$O139/3600)+'sv23'!$Y$3*($B139-$O139/3600)^2+'sv23'!$X$3*($B139-$O139/3600)^3+'sv23'!$W$3*($B139-$O139/3600)^4+'sv23'!$V$3*($B139-$O139/3600)^5+'sv23'!$U$3*($B139-$O139/3600)^6+'sv23'!$T$3*($B139-$O139/3600)^7+'sv23'!$S$3*($B139-$O139/3600)^8+K139*coord!$B$7*O139</f>
        <v>7834.8916659179222</v>
      </c>
      <c r="R139" s="5">
        <f>'sv23'!$AA$4+'sv23'!$Z$4*($B139-$O139/3600)+'sv23'!$Y$4*($B139-$O139/3600)^2+'sv23'!$X$4*($B139-$O139/3600)^3+'sv23'!$W$4*($B139-$O139/3600)^4+'sv23'!$V$4*($B139-$O139/3600)^5+'sv23'!$U$4*($B139-$O139/3600)^6+'sv23'!$T$4*($B139-$O139/3600)^7+'sv23'!$S$4*($B139-$O139/3600)^8-J139*coord!$B$7*O139</f>
        <v>13914.77599569264</v>
      </c>
      <c r="S139" s="5">
        <f>'sv23'!$AA$5+'sv23'!$Z$5*($B139-$O139/3600)+'sv23'!$Y$5*($B139-$O139/3600)^2+'sv23'!$X$5*($B139-$O139/3600)^3+'sv23'!$W$5*($B139-$O139/3600)^4+'sv23'!$V$5*($B139-$O139/3600)^5+'sv23'!$U$5*($B139-$O139/3600)^6+'sv23'!$T$5*($B139-$O139/3600)^7+'sv23'!$S$5*($B139-$O139/3600)^8</f>
        <v>21140.236968657984</v>
      </c>
      <c r="T139">
        <f>coord!$B$6*M139/10^6</f>
        <v>110940.00284501372</v>
      </c>
      <c r="U139">
        <f>SQRT(($Q139*1000+coord!$B$7*$O139*$R139*1000-coord!$B$2)^2+($R139*1000-coord!$B$7*$O139*$Q139*1000-coord!$C$2)^2+($S139*1000-coord!$D$2)^2)</f>
        <v>21374420.661410455</v>
      </c>
      <c r="V139" s="3">
        <f>$D139-(U139-$T139)-coord!$E$2</f>
        <v>37.247434560209513</v>
      </c>
      <c r="W139" s="3"/>
      <c r="Y139">
        <f>-(Q139*1000-coord!$B$2)/$U139</f>
        <v>-0.16122137529272926</v>
      </c>
      <c r="Z139">
        <f>-(R139*1000-coord!$C$2)/$U139</f>
        <v>-0.60774539756042423</v>
      </c>
      <c r="AA139">
        <f>-(S139*1000-coord!$D$2)/$U139</f>
        <v>-0.7775952835234049</v>
      </c>
      <c r="AB139">
        <v>1</v>
      </c>
      <c r="AD139">
        <v>0.67699597139469969</v>
      </c>
      <c r="AE139">
        <v>-0.60774539756042423</v>
      </c>
      <c r="AF139">
        <v>0.73187823064647273</v>
      </c>
      <c r="AG139">
        <v>0.36589459774772309</v>
      </c>
      <c r="AH139">
        <v>-0.90769684513205851</v>
      </c>
      <c r="AI139">
        <v>-0.24661617253586632</v>
      </c>
      <c r="AJ139">
        <v>-0.25765144948615681</v>
      </c>
      <c r="AL139">
        <v>0.27331683602276163</v>
      </c>
      <c r="AM139">
        <v>2.4483199833369609</v>
      </c>
      <c r="AN139">
        <v>-0.41870818554930433</v>
      </c>
      <c r="AO139">
        <v>-0.2449410649256103</v>
      </c>
      <c r="AQ139">
        <v>0.19602947055633455</v>
      </c>
      <c r="AR139">
        <v>0.50091951993424677</v>
      </c>
      <c r="AS139">
        <v>0.47132734197193688</v>
      </c>
      <c r="AT139">
        <v>0.33739058506379949</v>
      </c>
      <c r="AV139">
        <v>-313.27255495850983</v>
      </c>
      <c r="AX139">
        <v>-117.50196393620423</v>
      </c>
      <c r="BA139">
        <f>SQRT(($Q139*1000+coord!$B$7*$O139*$R139*1000-coord!$B$2-AX$138)^2+($R139*1000-coord!$B$7*$O139*$Q139*1000-coord!$C$2-AX$139)^2+($S139*1000-coord!$D$2-AX$140)^2)</f>
        <v>21374451.162467681</v>
      </c>
      <c r="BB139" s="3">
        <f t="shared" ref="BB139:BB144" si="27">$D139-(BA139-$T139)-AX$141</f>
        <v>-2.8513417743957632</v>
      </c>
      <c r="BD139" s="1"/>
      <c r="BE139" s="1"/>
      <c r="BF139" s="1"/>
      <c r="BS139">
        <f>-SIN(RADIANS(BH138))*SIN(RADIANS(BI138))</f>
        <v>-0.14678716216284213</v>
      </c>
      <c r="BT139">
        <f>COS(RADIANS(BI138))</f>
        <v>0.97852824742394828</v>
      </c>
      <c r="BU139">
        <f>COS(RADIANS(BH138))*SIN(RADIANS(BI138))</f>
        <v>0.1446927711310958</v>
      </c>
      <c r="BW139" t="s">
        <v>94</v>
      </c>
      <c r="BX139">
        <v>-0.20611275795888079</v>
      </c>
      <c r="BY139">
        <v>0.97852824742394828</v>
      </c>
      <c r="BZ139">
        <v>0</v>
      </c>
      <c r="CA139">
        <v>0</v>
      </c>
      <c r="CB139" s="1">
        <v>-114.28621380498045</v>
      </c>
      <c r="CD139" s="1"/>
      <c r="CE139" s="1"/>
      <c r="CF139" s="1"/>
      <c r="CH139">
        <v>-0.34601831722078458</v>
      </c>
      <c r="CI139">
        <v>0.44975972512411866</v>
      </c>
      <c r="CJ139">
        <v>0.11729962209999567</v>
      </c>
      <c r="CK139">
        <v>-8.5977695543371924E-2</v>
      </c>
      <c r="CM139">
        <v>-0.14678716216284216</v>
      </c>
      <c r="CN139">
        <v>0.97852824742394828</v>
      </c>
      <c r="CO139">
        <v>0.14469277113109583</v>
      </c>
      <c r="CP139">
        <v>0</v>
      </c>
      <c r="CR139" s="5">
        <v>0.25745874891105702</v>
      </c>
      <c r="CS139" s="5">
        <v>0.5114213852542473</v>
      </c>
      <c r="CT139" s="5">
        <v>-8.9077757350575631E-2</v>
      </c>
      <c r="CU139" s="5">
        <v>-8.5977695543371924E-2</v>
      </c>
    </row>
    <row r="140" spans="1:108">
      <c r="A140">
        <v>38</v>
      </c>
      <c r="B140">
        <f t="shared" si="19"/>
        <v>0.56666666666666665</v>
      </c>
      <c r="C140">
        <v>10</v>
      </c>
      <c r="D140">
        <v>22686172.498</v>
      </c>
      <c r="E140">
        <v>119216645.40448</v>
      </c>
      <c r="F140">
        <v>2958.1550000000002</v>
      </c>
      <c r="G140">
        <v>22686172.123</v>
      </c>
      <c r="H140">
        <v>92896091.23646</v>
      </c>
      <c r="J140" s="5">
        <f>'sv10'!$AA$3+'sv10'!$Z$3*($B140)+'sv10'!$Y$3*($B140)^2+'sv10'!$X$3*($B140)^3+'sv10'!$W$3*($B140)^4+'sv10'!$V$3*($B140)^5+'sv10'!$U$3*($B140)^6+'sv10'!$T$3*($B140)^7+'sv10'!$S$3*($B140)^8</f>
        <v>8369.0396819088455</v>
      </c>
      <c r="K140" s="5">
        <f>'sv10'!$AA$4+'sv10'!$Z$4*($B140)+'sv10'!$Y$4*($B140)^2+'sv10'!$X$4*($B140)^3+'sv10'!$W$4*($B140)^4+'sv10'!$V$4*($B140)^5+'sv10'!$U$4*($B140)^6+'sv10'!$T$4*($B140)^7+'sv10'!$S$4*($B140)^8</f>
        <v>-15669.370514031876</v>
      </c>
      <c r="L140" s="5">
        <f>'sv10'!$AA$5+'sv10'!$Z$5*($B140)+'sv10'!$Y$5*($B140)^2+'sv10'!$X$5*($B140)^3+'sv10'!$W$5*($B140)^4+'sv10'!$V$5*($B140)^5+'sv10'!$U$5*($B140)^6+'sv10'!$T$5*($B140)^7+'sv10'!$S$5*($B140)^8</f>
        <v>19448.697335138117</v>
      </c>
      <c r="M140" s="5">
        <f>'sv10'!$AA$6+'sv10'!$Z$6*$B140+'sv10'!$Y$6*$B140^2+'sv10'!$X$6*$B140^3+'sv10'!$W$6*$B140^4+'sv10'!$V$6*$B140^5+'sv10'!$U$6*$B140^6+'sv10'!$T$6*$B140^7+'sv10'!$S$6*$B140^8</f>
        <v>-43.001789360828631</v>
      </c>
      <c r="O140">
        <f>SQRT(($J140*1000-coord!$B$2)^2+($K140*1000-coord!$C$2)^2+($L140*1000-coord!$D$2)^2)/coord!$B$6</f>
        <v>7.5630011459884891E-2</v>
      </c>
      <c r="Q140" s="5">
        <f>'sv10'!$AA$3+'sv10'!$Z$3*($B140-$O140/3600)+'sv10'!$Y$3*($B140-$O140/3600)^2+'sv10'!$X$3*($B140-$O140/3600)^3+'sv10'!$W$3*($B140-$O140/3600)^4+'sv10'!$V$3*($B140-$O140/3600)^5+'sv10'!$U$3*($B140-$O140/3600)^6+'sv10'!$T$3*($B140-$O140/3600)^7+'sv10'!$S$3*($B140-$O140/3600)^8+K140*coord!$B$7*O140</f>
        <v>8368.8685009998298</v>
      </c>
      <c r="R140" s="5">
        <f>'sv10'!$AA$4+'sv10'!$Z$4*($B140-$O140/3600)+'sv10'!$Y$4*($B140-$O140/3600)^2+'sv10'!$X$4*($B140-$O140/3600)^3+'sv10'!$W$4*($B140-$O140/3600)^4+'sv10'!$V$4*($B140-$O140/3600)^5+'sv10'!$U$4*($B140-$O140/3600)^6+'sv10'!$T$4*($B140-$O140/3600)^7+'sv10'!$S$4*($B140-$O140/3600)^8-J140*coord!$B$7*O140</f>
        <v>-15669.588023572467</v>
      </c>
      <c r="S140" s="5">
        <f>'sv10'!$AA$5+'sv10'!$Z$5*($B140-$O140/3600)+'sv10'!$Y$5*($B140-$O140/3600)^2+'sv10'!$X$5*($B140-$O140/3600)^3+'sv10'!$W$5*($B140-$O140/3600)^4+'sv10'!$V$5*($B140-$O140/3600)^5+'sv10'!$U$5*($B140-$O140/3600)^6+'sv10'!$T$5*($B140-$O140/3600)^7+'sv10'!$S$5*($B140-$O140/3600)^8</f>
        <v>19448.59413093112</v>
      </c>
      <c r="T140">
        <f>coord!$B$6*M140/10^6</f>
        <v>-12891.612130881063</v>
      </c>
      <c r="U140">
        <f>SQRT(($Q140*1000+coord!$B$7*$O140*$R140*1000-coord!$B$2)^2+($R140*1000-coord!$B$7*$O140*$Q140*1000-coord!$C$2)^2+($S140*1000-coord!$D$2)^2)</f>
        <v>22673386.831187397</v>
      </c>
      <c r="V140" s="3">
        <f>$D140-(U140-$T140)-coord!$E$2</f>
        <v>-105.94531827792525</v>
      </c>
      <c r="W140" s="3"/>
      <c r="Y140">
        <f>-(Q140*1000-coord!$B$2)/$U140</f>
        <v>-0.17553576621933364</v>
      </c>
      <c r="Z140">
        <f>-(R140*1000-coord!$C$2)/$U140</f>
        <v>0.73187823064647273</v>
      </c>
      <c r="AA140">
        <f>-(S140*1000-coord!$D$2)/$U140</f>
        <v>-0.65843739921978361</v>
      </c>
      <c r="AB140">
        <v>1</v>
      </c>
      <c r="AD140">
        <v>-0.71187379474933399</v>
      </c>
      <c r="AE140">
        <v>-0.7775952835234049</v>
      </c>
      <c r="AF140">
        <v>-0.65843739921978361</v>
      </c>
      <c r="AG140">
        <v>-0.37650544463944774</v>
      </c>
      <c r="AH140">
        <v>1.4318298777638053E-2</v>
      </c>
      <c r="AI140">
        <v>-0.85527025768201781</v>
      </c>
      <c r="AJ140">
        <v>-4.8041860736787262E-2</v>
      </c>
      <c r="AL140">
        <v>1.1245290549406415</v>
      </c>
      <c r="AM140">
        <v>-0.41870818554930433</v>
      </c>
      <c r="AN140">
        <v>2.420715130881526</v>
      </c>
      <c r="AO140">
        <v>-3.4134057417731376</v>
      </c>
      <c r="AQ140">
        <v>1.6685405561910949</v>
      </c>
      <c r="AR140">
        <v>0.47132734197193693</v>
      </c>
      <c r="AS140">
        <v>2.6354458593095971</v>
      </c>
      <c r="AT140">
        <v>2.0679163043799078</v>
      </c>
      <c r="AV140">
        <v>141.70256436377556</v>
      </c>
      <c r="AX140">
        <v>53.308278679103012</v>
      </c>
      <c r="BA140">
        <f>SQRT(($Q140*1000+coord!$B$7*$O140*$R140*1000-coord!$B$2-AX$138)^2+($R140*1000-coord!$B$7*$O140*$Q140*1000-coord!$C$2-AX$139)^2+($S140*1000-coord!$D$2-AX$140)^2)</f>
        <v>22673266.323691715</v>
      </c>
      <c r="BB140" s="3">
        <f t="shared" si="27"/>
        <v>4.9644582963668711</v>
      </c>
      <c r="BD140" s="1"/>
      <c r="BE140" s="1"/>
      <c r="BF140" s="1"/>
      <c r="BS140">
        <f>COS(RADIANS(BH138))</f>
        <v>0.70200783573019676</v>
      </c>
      <c r="BT140">
        <v>0</v>
      </c>
      <c r="BU140">
        <f>SIN(RADIANS(BH138))</f>
        <v>0.71216922046196651</v>
      </c>
      <c r="BW140" t="s">
        <v>95</v>
      </c>
      <c r="BX140">
        <v>0.68693449717494848</v>
      </c>
      <c r="BY140">
        <v>0.14469277113109583</v>
      </c>
      <c r="BZ140">
        <v>0.71216922046196651</v>
      </c>
      <c r="CA140">
        <v>0</v>
      </c>
      <c r="CB140" s="1">
        <v>18.653936817967555</v>
      </c>
      <c r="CD140" s="1"/>
      <c r="CE140" s="1"/>
      <c r="CF140" s="1"/>
      <c r="CH140">
        <v>3.0091610167993847</v>
      </c>
      <c r="CI140">
        <v>0.54280366495559651</v>
      </c>
      <c r="CJ140">
        <v>3.0912591503971458</v>
      </c>
      <c r="CK140">
        <v>2.9083859306880893</v>
      </c>
      <c r="CM140">
        <v>0.70200783573019676</v>
      </c>
      <c r="CN140">
        <v>0</v>
      </c>
      <c r="CO140">
        <v>0.71216922046196651</v>
      </c>
      <c r="CP140">
        <v>0</v>
      </c>
      <c r="CR140" s="5">
        <v>-6.6056695519320918E-3</v>
      </c>
      <c r="CS140" s="5">
        <v>-8.9077757350575326E-2</v>
      </c>
      <c r="CT140" s="5">
        <v>4.3471358958403385</v>
      </c>
      <c r="CU140" s="5">
        <v>2.9083859306880893</v>
      </c>
    </row>
    <row r="141" spans="1:108">
      <c r="A141">
        <v>38</v>
      </c>
      <c r="B141">
        <f t="shared" si="19"/>
        <v>0.56666666666666665</v>
      </c>
      <c r="C141">
        <v>4</v>
      </c>
      <c r="D141">
        <v>21240473.146000002</v>
      </c>
      <c r="E141">
        <v>111619437.65649</v>
      </c>
      <c r="F141">
        <v>-1226.6790000000001</v>
      </c>
      <c r="G141">
        <v>21240472.699999999</v>
      </c>
      <c r="H141">
        <v>86976181.713479996</v>
      </c>
      <c r="J141" s="5">
        <f>'sv04'!$AA$3+'sv04'!$Z$3*($B141)+'sv04'!$Y$3*($B141)^2+'sv04'!$X$3*($B141)^3+'sv04'!$W$3*($B141)^4+'sv04'!$V$3*($B141)^5+'sv04'!$U$3*($B141)^6+'sv04'!$T$3*($B141)^7+'sv04'!$S$3*($B141)^8</f>
        <v>22488.834293928136</v>
      </c>
      <c r="K141" s="5">
        <f>'sv04'!$AA$4+'sv04'!$Z$4*($B141)+'sv04'!$Y$4*($B141)^2+'sv04'!$X$4*($B141)^3+'sv04'!$W$4*($B141)^4+'sv04'!$V$4*($B141)^5+'sv04'!$U$4*($B141)^6+'sv04'!$T$4*($B141)^7+'sv04'!$S$4*($B141)^8</f>
        <v>-6856.5742779299862</v>
      </c>
      <c r="L141" s="5">
        <f>'sv04'!$AA$5+'sv04'!$Z$5*($B141)+'sv04'!$Y$5*($B141)^2+'sv04'!$X$5*($B141)^3+'sv04'!$W$5*($B141)^4+'sv04'!$V$5*($B141)^5+'sv04'!$U$5*($B141)^6+'sv04'!$T$5*($B141)^7+'sv04'!$S$5*($B141)^8</f>
        <v>12526.356351929058</v>
      </c>
      <c r="M141" s="5">
        <f>'sv04'!$AA$6+'sv04'!$Z$6*$B141+'sv04'!$Y$6*$B141^2+'sv04'!$X$6*$B141^3+'sv04'!$W$6*$B141^4+'sv04'!$V$6*$B141^5+'sv04'!$U$6*$B141^6+'sv04'!$T$6*$B141^7+'sv04'!$S$6*$B141^8</f>
        <v>86.604222213186276</v>
      </c>
      <c r="O141">
        <f>SQRT(($J141*1000-coord!$B$2)^2+($K141*1000-coord!$C$2)^2+($L141*1000-coord!$D$2)^2)/coord!$B$6</f>
        <v>7.0937324708372676E-2</v>
      </c>
      <c r="Q141" s="5">
        <f>'sv04'!$AA$3+'sv04'!$Z$3*($B141-$O141/3600)+'sv04'!$Y$3*($B141-$O141/3600)^2+'sv04'!$X$3*($B141-$O141/3600)^3+'sv04'!$W$3*($B141-$O141/3600)^4+'sv04'!$V$3*($B141-$O141/3600)^5+'sv04'!$U$3*($B141-$O141/3600)^6+'sv04'!$T$3*($B141-$O141/3600)^7+'sv04'!$S$3*($B141-$O141/3600)^8+K141*coord!$B$7*O141</f>
        <v>22488.68725804747</v>
      </c>
      <c r="R141" s="5">
        <f>'sv04'!$AA$4+'sv04'!$Z$4*($B141-$O141/3600)+'sv04'!$Y$4*($B141-$O141/3600)^2+'sv04'!$X$4*($B141-$O141/3600)^3+'sv04'!$W$4*($B141-$O141/3600)^4+'sv04'!$V$4*($B141-$O141/3600)^5+'sv04'!$U$4*($B141-$O141/3600)^6+'sv04'!$T$4*($B141-$O141/3600)^7+'sv04'!$S$4*($B141-$O141/3600)^8-J141*coord!$B$7*O141</f>
        <v>-6856.7210786741316</v>
      </c>
      <c r="S141" s="5">
        <f>'sv04'!$AA$5+'sv04'!$Z$5*($B141-$O141/3600)+'sv04'!$Y$5*($B141-$O141/3600)^2+'sv04'!$X$5*($B141-$O141/3600)^3+'sv04'!$W$5*($B141-$O141/3600)^4+'sv04'!$V$5*($B141-$O141/3600)^5+'sv04'!$U$5*($B141-$O141/3600)^6+'sv04'!$T$5*($B141-$O141/3600)^7+'sv04'!$S$5*($B141-$O141/3600)^8</f>
        <v>12526.534962635915</v>
      </c>
      <c r="T141">
        <f>coord!$B$6*M141/10^6</f>
        <v>25963.292650469313</v>
      </c>
      <c r="U141">
        <f>SQRT(($Q141*1000+coord!$B$7*$O141*$R141*1000-coord!$B$2)^2+($R141*1000-coord!$B$7*$O141*$Q141*1000-coord!$C$2)^2+($S141*1000-coord!$D$2)^2)</f>
        <v>21266483.134137921</v>
      </c>
      <c r="V141" s="3">
        <f>$D141-(U141-$T141)-coord!$E$2</f>
        <v>-46.695487450808287</v>
      </c>
      <c r="W141" s="3"/>
      <c r="Y141">
        <f>-(Q141*1000-coord!$B$2)/$U141</f>
        <v>-0.85109554659711628</v>
      </c>
      <c r="Z141">
        <f>-(R141*1000-coord!$C$2)/$U141</f>
        <v>0.36589459774772309</v>
      </c>
      <c r="AA141">
        <f>-(S141*1000-coord!$D$2)/$U141</f>
        <v>-0.37650544463944774</v>
      </c>
      <c r="AB141">
        <v>1</v>
      </c>
      <c r="AD141">
        <v>1</v>
      </c>
      <c r="AE141">
        <v>1</v>
      </c>
      <c r="AF141">
        <v>1</v>
      </c>
      <c r="AG141">
        <v>1</v>
      </c>
      <c r="AH141">
        <v>1</v>
      </c>
      <c r="AI141">
        <v>1</v>
      </c>
      <c r="AJ141">
        <v>1</v>
      </c>
      <c r="AL141">
        <v>-3.2148578357206139</v>
      </c>
      <c r="AM141">
        <v>-0.2449410649256103</v>
      </c>
      <c r="AN141">
        <v>-3.4134057417731376</v>
      </c>
      <c r="AO141">
        <v>7</v>
      </c>
      <c r="AQ141">
        <v>2.0189139069509143</v>
      </c>
      <c r="AR141">
        <v>0.33739058506379954</v>
      </c>
      <c r="AS141">
        <v>2.0679163043799083</v>
      </c>
      <c r="AT141">
        <v>2.0902570556406475</v>
      </c>
      <c r="AV141">
        <v>-75.192057427018881</v>
      </c>
      <c r="AX141">
        <v>9.5977191083944433</v>
      </c>
      <c r="BA141">
        <f>SQRT(($Q141*1000+coord!$B$7*$O141*$R141*1000-coord!$B$2-AX$138)^2+($R141*1000-coord!$B$7*$O141*$Q141*1000-coord!$C$2-AX$139)^2+($S141*1000-coord!$D$2-AX$140)^2)</f>
        <v>21266422.930269543</v>
      </c>
      <c r="BB141" s="3">
        <f t="shared" si="27"/>
        <v>3.9106618187510378</v>
      </c>
      <c r="BD141" s="1"/>
      <c r="BE141" s="1"/>
      <c r="BF141" s="1"/>
      <c r="BX141">
        <v>0</v>
      </c>
      <c r="BY141">
        <v>0</v>
      </c>
      <c r="BZ141">
        <v>0</v>
      </c>
      <c r="CA141">
        <v>1</v>
      </c>
      <c r="CD141" s="1"/>
      <c r="CE141" s="1"/>
      <c r="CF141" s="1"/>
      <c r="CH141">
        <v>2.0189139069509143</v>
      </c>
      <c r="CI141">
        <v>0.33739058506379954</v>
      </c>
      <c r="CJ141">
        <v>2.0679163043799083</v>
      </c>
      <c r="CK141">
        <v>2.0902570556406475</v>
      </c>
      <c r="CM141">
        <v>0</v>
      </c>
      <c r="CN141">
        <v>0</v>
      </c>
      <c r="CO141">
        <v>0</v>
      </c>
      <c r="CP141">
        <v>1</v>
      </c>
      <c r="CR141" s="5">
        <v>-4.7672355071346484E-3</v>
      </c>
      <c r="CS141" s="5">
        <v>-8.5977695543371868E-2</v>
      </c>
      <c r="CT141" s="5">
        <v>2.9083859306880901</v>
      </c>
      <c r="CU141" s="5">
        <v>2.0902570556406475</v>
      </c>
    </row>
    <row r="142" spans="1:108">
      <c r="A142">
        <v>38</v>
      </c>
      <c r="B142">
        <f t="shared" si="19"/>
        <v>0.56666666666666665</v>
      </c>
      <c r="C142">
        <v>20</v>
      </c>
      <c r="D142">
        <v>23291290.567000002</v>
      </c>
      <c r="E142">
        <v>122396552.41448</v>
      </c>
      <c r="F142">
        <v>-3152.0459999999998</v>
      </c>
      <c r="G142">
        <v>23291289.761999998</v>
      </c>
      <c r="H142">
        <v>95373930.438449994</v>
      </c>
      <c r="J142" s="5">
        <f>'sv20'!$AA$3+'sv20'!$Z$3*($B142)+'sv20'!$Y$3*($B142)^2+'sv20'!$X$3*($B142)^3+'sv20'!$W$3*($B142)^4+'sv20'!$V$3*($B142)^5+'sv20'!$U$3*($B142)^6+'sv20'!$T$3*($B142)^7+'sv20'!$S$3*($B142)^8</f>
        <v>14163.715477275493</v>
      </c>
      <c r="K142" s="5">
        <f>'sv20'!$AA$4+'sv20'!$Z$4*($B142)+'sv20'!$Y$4*($B142)^2+'sv20'!$X$4*($B142)^3+'sv20'!$W$4*($B142)^4+'sv20'!$V$4*($B142)^5+'sv20'!$U$4*($B142)^6+'sv20'!$T$4*($B142)^7+'sv20'!$S$4*($B142)^8</f>
        <v>22081.210501601461</v>
      </c>
      <c r="L142" s="5">
        <f>'sv20'!$AA$5+'sv20'!$Z$5*($B142)+'sv20'!$Y$5*($B142)^2+'sv20'!$X$5*($B142)^3+'sv20'!$W$5*($B142)^4+'sv20'!$V$5*($B142)^5+'sv20'!$U$5*($B142)^6+'sv20'!$T$5*($B142)^7+'sv20'!$S$5*($B142)^8</f>
        <v>4185.6208837944532</v>
      </c>
      <c r="M142" s="5">
        <f>'sv20'!$AA$6+'sv20'!$Z$6*$B142+'sv20'!$Y$6*$B142^2+'sv20'!$X$6*$B142^3+'sv20'!$W$6*$B142^4+'sv20'!$V$6*$B142^5+'sv20'!$U$6*$B142^6+'sv20'!$T$6*$B142^7+'sv20'!$S$6*$B142^8</f>
        <v>55.817656744081063</v>
      </c>
      <c r="O142">
        <f>SQRT(($J142*1000-coord!$B$2)^2+($K142*1000-coord!$C$2)^2+($L142*1000-coord!$D$2)^2)/coord!$B$6</f>
        <v>7.7747086599146489E-2</v>
      </c>
      <c r="Q142" s="5">
        <f>'sv20'!$AA$3+'sv20'!$Z$3*($B142-$O142/3600)+'sv20'!$Y$3*($B142-$O142/3600)^2+'sv20'!$X$3*($B142-$O142/3600)^3+'sv20'!$W$3*($B142-$O142/3600)^4+'sv20'!$V$3*($B142-$O142/3600)^5+'sv20'!$U$3*($B142-$O142/3600)^6+'sv20'!$T$3*($B142-$O142/3600)^7+'sv20'!$S$3*($B142-$O142/3600)^8+K142*coord!$B$7*O142</f>
        <v>14163.846163093429</v>
      </c>
      <c r="R142" s="5">
        <f>'sv20'!$AA$4+'sv20'!$Z$4*($B142-$O142/3600)+'sv20'!$Y$4*($B142-$O142/3600)^2+'sv20'!$X$4*($B142-$O142/3600)^3+'sv20'!$W$4*($B142-$O142/3600)^4+'sv20'!$V$4*($B142-$O142/3600)^5+'sv20'!$U$4*($B142-$O142/3600)^6+'sv20'!$T$4*($B142-$O142/3600)^7+'sv20'!$S$4*($B142-$O142/3600)^8-J142*coord!$B$7*O142</f>
        <v>22081.080039404016</v>
      </c>
      <c r="S142" s="5">
        <f>'sv20'!$AA$5+'sv20'!$Z$5*($B142-$O142/3600)+'sv20'!$Y$5*($B142-$O142/3600)^2+'sv20'!$X$5*($B142-$O142/3600)^3+'sv20'!$W$5*($B142-$O142/3600)^4+'sv20'!$V$5*($B142-$O142/3600)^5+'sv20'!$U$5*($B142-$O142/3600)^6+'sv20'!$T$5*($B142-$O142/3600)^7+'sv20'!$S$5*($B142-$O142/3600)^8</f>
        <v>4185.8587583187555</v>
      </c>
      <c r="T142">
        <f>coord!$B$6*M142/10^6</f>
        <v>16733.712515108338</v>
      </c>
      <c r="U142">
        <f>SQRT(($Q142*1000+coord!$B$7*$O142*$R142*1000-coord!$B$2)^2+($R142*1000-coord!$B$7*$O142*$Q142*1000-coord!$C$2)^2+($S142*1000-coord!$D$2)^2)</f>
        <v>23307902.786779005</v>
      </c>
      <c r="V142" s="3">
        <f>$D142-(U142-$T142)-coord!$E$2</f>
        <v>121.4927361048758</v>
      </c>
      <c r="W142" s="3"/>
      <c r="Y142">
        <f>-(Q142*1000-coord!$B$2)/$U142</f>
        <v>-0.41938427844473875</v>
      </c>
      <c r="Z142">
        <f>-(R142*1000-coord!$C$2)/$U142</f>
        <v>-0.90769684513205851</v>
      </c>
      <c r="AA142">
        <f>-(S142*1000-coord!$D$2)/$U142</f>
        <v>1.4318298777638053E-2</v>
      </c>
      <c r="AB142">
        <v>1</v>
      </c>
      <c r="BA142">
        <f>SQRT(($Q142*1000+coord!$B$7*$O142*$R142*1000-coord!$B$2-AX$138)^2+($R142*1000-coord!$B$7*$O142*$Q142*1000-coord!$C$2-AX$139)^2+($S142*1000-coord!$D$2-AX$140)^2)</f>
        <v>23308011.61555716</v>
      </c>
      <c r="BB142" s="3">
        <f t="shared" si="27"/>
        <v>3.0662388413333304</v>
      </c>
      <c r="BD142" s="1"/>
      <c r="BE142" s="1"/>
      <c r="BF142" s="1"/>
      <c r="CD142" s="1"/>
      <c r="CE142" s="1"/>
      <c r="CF142" s="1"/>
    </row>
    <row r="143" spans="1:108">
      <c r="A143">
        <v>38</v>
      </c>
      <c r="B143">
        <f t="shared" si="19"/>
        <v>0.56666666666666665</v>
      </c>
      <c r="C143">
        <v>13</v>
      </c>
      <c r="D143">
        <v>20197616.550000001</v>
      </c>
      <c r="E143">
        <v>106139190.13248999</v>
      </c>
      <c r="F143">
        <v>-861.96</v>
      </c>
      <c r="G143">
        <v>20197614.697999999</v>
      </c>
      <c r="H143">
        <v>82705854.369479999</v>
      </c>
      <c r="J143" s="5">
        <f>'sv13'!$AA$3+'sv13'!$Z$3*($B143)+'sv13'!$Y$3*($B143)^2+'sv13'!$X$3*($B143)^3+'sv13'!$W$3*($B143)^4+'sv13'!$V$3*($B143)^5+'sv13'!$U$3*($B143)^6+'sv13'!$T$3*($B143)^7+'sv13'!$S$3*($B143)^8</f>
        <v>13635.036878811534</v>
      </c>
      <c r="K143" s="5">
        <f>'sv13'!$AA$4+'sv13'!$Z$4*($B143)+'sv13'!$Y$4*($B143)^2+'sv13'!$X$4*($B143)^3+'sv13'!$W$4*($B143)^4+'sv13'!$V$4*($B143)^5+'sv13'!$U$4*($B143)^6+'sv13'!$T$4*($B143)^7+'sv13'!$S$4*($B143)^8</f>
        <v>5928.3359295012669</v>
      </c>
      <c r="L143" s="5">
        <f>'sv13'!$AA$5+'sv13'!$Z$5*($B143)+'sv13'!$Y$5*($B143)^2+'sv13'!$X$5*($B143)^3+'sv13'!$W$5*($B143)^4+'sv13'!$V$5*($B143)^5+'sv13'!$U$5*($B143)^6+'sv13'!$T$5*($B143)^7+'sv13'!$S$5*($B143)^8</f>
        <v>21872.048461217688</v>
      </c>
      <c r="M143" s="5">
        <f>'sv13'!$AA$6+'sv13'!$Z$6*$B143+'sv13'!$Y$6*$B143^2+'sv13'!$X$6*$B143^3+'sv13'!$W$6*$B143^4+'sv13'!$V$6*$B143^5+'sv13'!$U$6*$B143^6+'sv13'!$T$6*$B143^7+'sv13'!$S$6*$B143^8</f>
        <v>304.21928976652845</v>
      </c>
      <c r="O143">
        <f>SQRT(($J143*1000-coord!$B$2)^2+($K143*1000-coord!$C$2)^2+($L143*1000-coord!$D$2)^2)/coord!$B$6</f>
        <v>6.7676282957324044E-2</v>
      </c>
      <c r="Q143" s="5">
        <f>'sv13'!$AA$3+'sv13'!$Z$3*($B143-$O143/3600)+'sv13'!$Y$3*($B143-$O143/3600)^2+'sv13'!$X$3*($B143-$O143/3600)^3+'sv13'!$W$3*($B143-$O143/3600)^4+'sv13'!$V$3*($B143-$O143/3600)^5+'sv13'!$U$3*($B143-$O143/3600)^6+'sv13'!$T$3*($B143-$O143/3600)^7+'sv13'!$S$3*($B143-$O143/3600)^8+K143*coord!$B$7*O143</f>
        <v>13635.186051276305</v>
      </c>
      <c r="R143" s="5">
        <f>'sv13'!$AA$4+'sv13'!$Z$4*($B143-$O143/3600)+'sv13'!$Y$4*($B143-$O143/3600)^2+'sv13'!$X$4*($B143-$O143/3600)^3+'sv13'!$W$4*($B143-$O143/3600)^4+'sv13'!$V$4*($B143-$O143/3600)^5+'sv13'!$U$4*($B143-$O143/3600)^6+'sv13'!$T$4*($B143-$O143/3600)^7+'sv13'!$S$4*($B143-$O143/3600)^8-J143*coord!$B$7*O143</f>
        <v>5928.1217398029012</v>
      </c>
      <c r="S143" s="5">
        <f>'sv13'!$AA$5+'sv13'!$Z$5*($B143-$O143/3600)+'sv13'!$Y$5*($B143-$O143/3600)^2+'sv13'!$X$5*($B143-$O143/3600)^3+'sv13'!$W$5*($B143-$O143/3600)^4+'sv13'!$V$5*($B143-$O143/3600)^5+'sv13'!$U$5*($B143-$O143/3600)^6+'sv13'!$T$5*($B143-$O143/3600)^7+'sv13'!$S$5*($B143-$O143/3600)^8</f>
        <v>21872.013946466937</v>
      </c>
      <c r="T143">
        <f>coord!$B$6*M143/10^6</f>
        <v>91202.648650121817</v>
      </c>
      <c r="U143">
        <f>SQRT(($Q143*1000+coord!$B$7*$O143*$R143*1000-coord!$B$2)^2+($R143*1000-coord!$B$7*$O143*$Q143*1000-coord!$C$2)^2+($S143*1000-coord!$D$2)^2)</f>
        <v>20288821.593300886</v>
      </c>
      <c r="V143" s="3">
        <f>$D143-(U143-$T143)-coord!$E$2</f>
        <v>-2.3946507647633553</v>
      </c>
      <c r="W143" s="3"/>
      <c r="Y143">
        <f>-(Q143*1000-coord!$B$2)/$U143</f>
        <v>-0.45573410155715105</v>
      </c>
      <c r="Z143">
        <f>-(R143*1000-coord!$C$2)/$U143</f>
        <v>-0.24661617253586632</v>
      </c>
      <c r="AA143">
        <f>-(S143*1000-coord!$D$2)/$U143</f>
        <v>-0.85527025768201781</v>
      </c>
      <c r="AB143">
        <v>1</v>
      </c>
      <c r="BA143">
        <f>SQRT(($Q143*1000+coord!$B$7*$O143*$R143*1000-coord!$B$2-AX$138)^2+($R143*1000-coord!$B$7*$O143*$Q143*1000-coord!$C$2-AX$139)^2+($S143*1000-coord!$D$2-AX$140)^2)</f>
        <v>20288806.510013543</v>
      </c>
      <c r="BB143" s="3">
        <f t="shared" si="27"/>
        <v>3.0909174702250368</v>
      </c>
      <c r="BD143" s="1"/>
      <c r="BE143" s="1"/>
      <c r="BF143" s="1"/>
      <c r="CD143" s="1"/>
      <c r="CE143" s="1"/>
      <c r="CF143" s="1"/>
    </row>
    <row r="144" spans="1:108">
      <c r="A144">
        <v>38</v>
      </c>
      <c r="B144">
        <f t="shared" si="19"/>
        <v>0.56666666666666665</v>
      </c>
      <c r="C144">
        <v>7</v>
      </c>
      <c r="D144">
        <v>21607079.644000001</v>
      </c>
      <c r="E144">
        <v>113545976.27749</v>
      </c>
      <c r="F144">
        <v>2683.9140000000002</v>
      </c>
      <c r="G144">
        <v>21607078.403000001</v>
      </c>
      <c r="H144">
        <v>88477384.935479999</v>
      </c>
      <c r="J144" s="5">
        <f>'sv07'!$AA$3+'sv07'!$Z$3*($B144)+'sv07'!$Y$3*($B144)^2+'sv07'!$X$3*($B144)^3+'sv07'!$W$3*($B144)^4+'sv07'!$V$3*($B144)^5+'sv07'!$U$3*($B144)^6+'sv07'!$T$3*($B144)^7+'sv07'!$S$3*($B144)^8</f>
        <v>25240.332496617557</v>
      </c>
      <c r="K144" s="5">
        <f>'sv07'!$AA$4+'sv07'!$Z$4*($B144)+'sv07'!$Y$4*($B144)^2+'sv07'!$X$4*($B144)^3+'sv07'!$W$4*($B144)^4+'sv07'!$V$4*($B144)^5+'sv07'!$U$4*($B144)^6+'sv07'!$T$4*($B144)^7+'sv07'!$S$4*($B144)^8</f>
        <v>6491.7507458850814</v>
      </c>
      <c r="L144" s="5">
        <f>'sv07'!$AA$5+'sv07'!$Z$5*($B144)+'sv07'!$Y$5*($B144)^2+'sv07'!$X$5*($B144)^3+'sv07'!$W$5*($B144)^4+'sv07'!$V$5*($B144)^5+'sv07'!$U$5*($B144)^6+'sv07'!$T$5*($B144)^7+'sv07'!$S$5*($B144)^8</f>
        <v>5557.8440186049984</v>
      </c>
      <c r="M144" s="5">
        <f>'sv07'!$AA$6+'sv07'!$Z$6*$B144+'sv07'!$Y$6*$B144^2+'sv07'!$X$6*$B144^3+'sv07'!$W$6*$B144^4+'sv07'!$V$6*$B144^5+'sv07'!$U$6*$B144^6+'sv07'!$T$6*$B144^7+'sv07'!$S$6*$B144^8</f>
        <v>-0.6379827237082597</v>
      </c>
      <c r="O144">
        <f>SQRT(($J144*1000-coord!$B$2)^2+($K144*1000-coord!$C$2)^2+($L144*1000-coord!$D$2)^2)/coord!$B$6</f>
        <v>7.2072589856695471E-2</v>
      </c>
      <c r="Q144" s="5">
        <f>'sv07'!$AA$3+'sv07'!$Z$3*($B144-$O144/3600)+'sv07'!$Y$3*($B144-$O144/3600)^2+'sv07'!$X$3*($B144-$O144/3600)^3+'sv07'!$W$3*($B144-$O144/3600)^4+'sv07'!$V$3*($B144-$O144/3600)^5+'sv07'!$U$3*($B144-$O144/3600)^6+'sv07'!$T$3*($B144-$O144/3600)^7+'sv07'!$S$3*($B144-$O144/3600)^8+K144*coord!$B$7*O144</f>
        <v>25240.418720523427</v>
      </c>
      <c r="R144" s="5">
        <f>'sv07'!$AA$4+'sv07'!$Z$4*($B144-$O144/3600)+'sv07'!$Y$4*($B144-$O144/3600)^2+'sv07'!$X$4*($B144-$O144/3600)^3+'sv07'!$W$4*($B144-$O144/3600)^4+'sv07'!$V$4*($B144-$O144/3600)^5+'sv07'!$U$4*($B144-$O144/3600)^6+'sv07'!$T$4*($B144-$O144/3600)^7+'sv07'!$S$4*($B144-$O144/3600)^8-J144*coord!$B$7*O144</f>
        <v>6491.6072513770387</v>
      </c>
      <c r="S144" s="5">
        <f>'sv07'!$AA$5+'sv07'!$Z$5*($B144-$O144/3600)+'sv07'!$Y$5*($B144-$O144/3600)^2+'sv07'!$X$5*($B144-$O144/3600)^3+'sv07'!$W$5*($B144-$O144/3600)^4+'sv07'!$V$5*($B144-$O144/3600)^5+'sv07'!$U$5*($B144-$O144/3600)^6+'sv07'!$T$5*($B144-$O144/3600)^7+'sv07'!$S$5*($B144-$O144/3600)^8</f>
        <v>5557.6217052704997</v>
      </c>
      <c r="T144">
        <f>coord!$B$6*M144/10^6</f>
        <v>-191.26240890203405</v>
      </c>
      <c r="U144">
        <f>SQRT(($Q144*1000+coord!$B$7*$O144*$R144*1000-coord!$B$2)^2+($R144*1000-coord!$B$7*$O144*$Q144*1000-coord!$C$2)^2+($S144*1000-coord!$D$2)^2)</f>
        <v>21606853.170356978</v>
      </c>
      <c r="V144" s="3">
        <f>$D144-(U144-$T144)-coord!$E$2</f>
        <v>35.211234122514725</v>
      </c>
      <c r="W144" s="3" t="s">
        <v>127</v>
      </c>
      <c r="X144" s="1" t="s">
        <v>128</v>
      </c>
      <c r="Y144">
        <f>-(Q144*1000-coord!$B$2)/$U144</f>
        <v>-0.96504291417735077</v>
      </c>
      <c r="Z144">
        <f>-(R144*1000-coord!$C$2)/$U144</f>
        <v>-0.25765144948615681</v>
      </c>
      <c r="AA144">
        <f>-(S144*1000-coord!$D$2)/$U144</f>
        <v>-4.8041860736787262E-2</v>
      </c>
      <c r="AB144">
        <v>1</v>
      </c>
      <c r="BA144">
        <f>SQRT(($Q144*1000+coord!$B$7*$O144*$R144*1000-coord!$B$2-AX$138)^2+($R144*1000-coord!$B$7*$O144*$Q144*1000-coord!$C$2-AX$139)^2+($S144*1000-coord!$D$2-AX$140)^2)</f>
        <v>21606884.127185978</v>
      </c>
      <c r="BB144" s="3">
        <f t="shared" si="27"/>
        <v>-5.3433139861441248</v>
      </c>
      <c r="BC144" s="3" t="s">
        <v>127</v>
      </c>
      <c r="BD144" s="1" t="s">
        <v>128</v>
      </c>
      <c r="BE144" s="1"/>
      <c r="BF144" s="1"/>
      <c r="CD144" s="1"/>
      <c r="CE144" s="1"/>
      <c r="CF144" s="1"/>
    </row>
    <row r="145" spans="1:108">
      <c r="V145" s="3"/>
      <c r="W145" s="3">
        <f>AVERAGE($V138:$V144)</f>
        <v>-10.741722489574126</v>
      </c>
      <c r="X145" s="1">
        <f>SQRT(DEVSQ($V138:$V144)/6)</f>
        <v>84.667236320503321</v>
      </c>
      <c r="BB145" s="3"/>
      <c r="BC145" s="3">
        <f>AVERAGE($BB138:$BB144)</f>
        <v>1.7115423060382845E-4</v>
      </c>
      <c r="BD145" s="1">
        <f>SQRT(DEVSQ($BB138:$BB144)/6)</f>
        <v>4.8701906417551788</v>
      </c>
      <c r="BE145" s="1"/>
      <c r="BF145" s="1"/>
      <c r="CD145" s="1"/>
      <c r="CE145" s="1"/>
      <c r="CF145" s="1"/>
    </row>
    <row r="146" spans="1:108">
      <c r="A146">
        <v>40</v>
      </c>
      <c r="B146">
        <f t="shared" ref="B146:B152" si="28">(60-45)/60+30*A146/3600</f>
        <v>0.58333333333333326</v>
      </c>
      <c r="C146">
        <v>2</v>
      </c>
      <c r="D146">
        <v>22405372.829</v>
      </c>
      <c r="E146">
        <v>117741034.93347999</v>
      </c>
      <c r="F146">
        <v>1984.585</v>
      </c>
      <c r="G146">
        <v>22405370.166999999</v>
      </c>
      <c r="H146">
        <v>91746250.44946</v>
      </c>
      <c r="J146" s="5">
        <f>'sv02'!$AA$3+'sv02'!$Z$3*($B146)+'sv02'!$Y$3*($B146)^2+'sv02'!$X$3*($B146)^3+'sv02'!$W$3*($B146)^4+'sv02'!$V$3*($B146)^5+'sv02'!$U$3*($B146)^6+'sv02'!$T$3*($B146)^7+'sv02'!$S$3*($B146)^8</f>
        <v>8750.7085622063751</v>
      </c>
      <c r="K146" s="5">
        <f>'sv02'!$AA$4+'sv02'!$Z$4*($B146)+'sv02'!$Y$4*($B146)^2+'sv02'!$X$4*($B146)^3+'sv02'!$W$4*($B146)^4+'sv02'!$V$4*($B146)^5+'sv02'!$U$4*($B146)^6+'sv02'!$T$4*($B146)^7+'sv02'!$S$4*($B146)^8</f>
        <v>-14290.98284633715</v>
      </c>
      <c r="L146" s="5">
        <f>'sv02'!$AA$5+'sv02'!$Z$5*($B146)+'sv02'!$Y$5*($B146)^2+'sv02'!$X$5*($B146)^3+'sv02'!$W$5*($B146)^4+'sv02'!$V$5*($B146)^5+'sv02'!$U$5*($B146)^6+'sv02'!$T$5*($B146)^7+'sv02'!$S$5*($B146)^8</f>
        <v>20486.127745928308</v>
      </c>
      <c r="M146" s="5">
        <f>'sv02'!$AA$6+'sv02'!$Z$6*$B146+'sv02'!$Y$6*$B146^2+'sv02'!$X$6*$B146^3+'sv02'!$W$6*$B146^4+'sv02'!$V$6*$B146^5+'sv02'!$U$6*$B146^6+'sv02'!$T$6*$B146^7+'sv02'!$S$6*$B146^8</f>
        <v>257.59365214337834</v>
      </c>
      <c r="O146">
        <f>SQRT(($J146*1000-coord!$B$2)^2+($K146*1000-coord!$C$2)^2+($L146*1000-coord!$D$2)^2)/coord!$B$6</f>
        <v>7.4994007318941444E-2</v>
      </c>
      <c r="Q146" s="5">
        <f>'sv02'!$AA$3+'sv02'!$Z$3*($B146-$O146/3600)+'sv02'!$Y$3*($B146-$O146/3600)^2+'sv02'!$X$3*($B146-$O146/3600)^3+'sv02'!$W$3*($B146-$O146/3600)^4+'sv02'!$V$3*($B146-$O146/3600)^5+'sv02'!$U$3*($B146-$O146/3600)^6+'sv02'!$T$3*($B146-$O146/3600)^7+'sv02'!$S$3*($B146-$O146/3600)^8+K146*coord!$B$7*O146</f>
        <v>8750.4349700919065</v>
      </c>
      <c r="R146" s="5">
        <f>'sv02'!$AA$4+'sv02'!$Z$4*($B146-$O146/3600)+'sv02'!$Y$4*($B146-$O146/3600)^2+'sv02'!$X$4*($B146-$O146/3600)^3+'sv02'!$W$4*($B146-$O146/3600)^4+'sv02'!$V$4*($B146-$O146/3600)^5+'sv02'!$U$4*($B146-$O146/3600)^6+'sv02'!$T$4*($B146-$O146/3600)^7+'sv02'!$S$4*($B146-$O146/3600)^8-J146*coord!$B$7*O146</f>
        <v>-14291.056059987577</v>
      </c>
      <c r="S146" s="5">
        <f>'sv02'!$AA$5+'sv02'!$Z$5*($B146-$O146/3600)+'sv02'!$Y$5*($B146-$O146/3600)^2+'sv02'!$X$5*($B146-$O146/3600)^3+'sv02'!$W$5*($B146-$O146/3600)^4+'sv02'!$V$5*($B146-$O146/3600)^5+'sv02'!$U$5*($B146-$O146/3600)^6+'sv02'!$T$5*($B146-$O146/3600)^7+'sv02'!$S$5*($B146-$O146/3600)^8</f>
        <v>20486.196883193988</v>
      </c>
      <c r="T146">
        <f>coord!$B$6*M146/10^6</f>
        <v>77224.634141260365</v>
      </c>
      <c r="U146">
        <f>SQRT(($Q146*1000+coord!$B$7*$O146*$R146*1000-coord!$B$2)^2+($R146*1000-coord!$B$7*$O146*$Q146*1000-coord!$C$2)^2+($S146*1000-coord!$D$2)^2)</f>
        <v>22482700.584445219</v>
      </c>
      <c r="V146" s="3">
        <f>$D146-(U146-$T146)-coord!$E$2</f>
        <v>-103.12130396068096</v>
      </c>
      <c r="W146" s="3"/>
      <c r="Y146">
        <f>-(Q146*1000-coord!$B$2)/$U146</f>
        <v>-0.19399612528352017</v>
      </c>
      <c r="Z146">
        <f>-(R146*1000-coord!$C$2)/$U146</f>
        <v>0.67677040024785062</v>
      </c>
      <c r="AA146">
        <f>-(S146*1000-coord!$D$2)/$U146</f>
        <v>-0.71017307502376181</v>
      </c>
      <c r="AB146">
        <v>1</v>
      </c>
      <c r="AD146">
        <f t="array" ref="AD146:AJ149">TRANSPOSE(Y146:AB152)</f>
        <v>-0.19399612528352017</v>
      </c>
      <c r="AE146">
        <v>-0.15640145708486602</v>
      </c>
      <c r="AF146">
        <v>-0.17878276917316932</v>
      </c>
      <c r="AG146">
        <v>-0.85493659520604559</v>
      </c>
      <c r="AH146">
        <v>-0.41854446485903118</v>
      </c>
      <c r="AI146">
        <v>-0.45028111154278205</v>
      </c>
      <c r="AJ146">
        <v>-0.96436484267456124</v>
      </c>
      <c r="AL146">
        <f t="array" ref="AL146:AO149">MMULT(AD146:AJ149,Y146:AB152)</f>
        <v>2.1329078710420886</v>
      </c>
      <c r="AM146">
        <v>0.26615993432059926</v>
      </c>
      <c r="AN146">
        <v>1.1239725949681254</v>
      </c>
      <c r="AO146">
        <v>-3.2173073658239755</v>
      </c>
      <c r="AQ146">
        <f t="array" ref="AQ146:AT149">MINVERSE(AL146:AO149)</f>
        <v>2.6165631842912664</v>
      </c>
      <c r="AR146">
        <v>0.21654152021299761</v>
      </c>
      <c r="AS146">
        <v>1.6803988634297546</v>
      </c>
      <c r="AT146">
        <v>2.0287912892930335</v>
      </c>
      <c r="AV146">
        <f t="array" ref="AV146:AV149">MMULT(AD146:AJ149,V146:V152)</f>
        <v>-4.2949237654866153</v>
      </c>
      <c r="AX146">
        <f t="array" ref="AX146:AX149">MMULT(AQ146:AT149,AV146:AV149)</f>
        <v>1.7754672141653316</v>
      </c>
      <c r="BA146">
        <f>SQRT(($Q146*1000+coord!$B$7*$O146*$R146*1000-coord!$B$2-AX$146)^2+($R146*1000-coord!$B$7*$O146*$Q146*1000-coord!$C$2-AX$147)^2+($S146*1000-coord!$D$2-AX$148)^2)</f>
        <v>22482594.222024482</v>
      </c>
      <c r="BB146" s="3">
        <f>$D146-(BA146-$T146)-AX$149</f>
        <v>-6.7650754508852629</v>
      </c>
      <c r="BD146" s="1">
        <f>coord!$B$2+$AX146</f>
        <v>4388879.9462672146</v>
      </c>
      <c r="BE146" s="1">
        <f>coord!$C$2+$AX147</f>
        <v>924462.76980754081</v>
      </c>
      <c r="BF146" s="1">
        <f>coord!$D$2+$AX148</f>
        <v>4519635.1689402368</v>
      </c>
      <c r="BG146" s="1">
        <f>coord!$E$2+$AX149</f>
        <v>10.006192227947679</v>
      </c>
      <c r="BH146" s="8">
        <f>lat($BD146,$BE146,$BF146)</f>
        <v>45.411598260316218</v>
      </c>
      <c r="BI146" s="8">
        <f>lon($BD146,$BE146,$BF146)</f>
        <v>11.894758804265818</v>
      </c>
      <c r="BJ146" s="6">
        <f>h($BD146,$BE146,$BF146)</f>
        <v>81.1901850765571</v>
      </c>
      <c r="BL146">
        <f>grado($BH146)</f>
        <v>45</v>
      </c>
      <c r="BM146">
        <f>MINUTOprimo($BH146)</f>
        <v>24</v>
      </c>
      <c r="BN146">
        <f>MINUTOsecondo($BH146)</f>
        <v>41.753737138384963</v>
      </c>
      <c r="BO146">
        <f>grado($BI146)</f>
        <v>11</v>
      </c>
      <c r="BP146">
        <f>MINUTOprimo($BI146)</f>
        <v>53</v>
      </c>
      <c r="BQ146">
        <f>MINUTOsecondo($BI146)</f>
        <v>41.131695356944391</v>
      </c>
      <c r="BS146">
        <f>-SIN(RADIANS(BH146))*COS(RADIANS(BI146))</f>
        <v>-0.69687638058054724</v>
      </c>
      <c r="BT146">
        <f>-SIN(RADIANS(BI146))</f>
        <v>-0.2061146743264127</v>
      </c>
      <c r="BU146">
        <f>COS(RADIANS(BH146))*COS(RADIANS(BI146))</f>
        <v>0.68693525984351189</v>
      </c>
      <c r="BW146" t="s">
        <v>93</v>
      </c>
      <c r="BX146">
        <f t="array" ref="BX146:BZ148">MINVERSE(BS146:BU148)</f>
        <v>-0.69687638058054724</v>
      </c>
      <c r="BY146">
        <v>-0.14678830974924073</v>
      </c>
      <c r="BZ146">
        <v>0.70200890472266586</v>
      </c>
      <c r="CA146">
        <v>0</v>
      </c>
      <c r="CB146" s="1">
        <f t="array" ref="CB146:CB148">MMULT(BX146:BZ148,AX146:AX148)</f>
        <v>47.454607837091878</v>
      </c>
      <c r="CD146" s="1">
        <f t="array" ref="CD146:CF146">TRANSPOSE(CB146:CB148)</f>
        <v>47.454607837091878</v>
      </c>
      <c r="CE146" s="1">
        <v>-105.502300996713</v>
      </c>
      <c r="CF146" s="1">
        <v>19.070050586581871</v>
      </c>
      <c r="CH146">
        <f t="array" ref="CH146:CK149">MMULT(BX146:CA149,AQ146:AT149)</f>
        <v>-0.67555187955827156</v>
      </c>
      <c r="CI146">
        <v>0.11586032630367699</v>
      </c>
      <c r="CJ146">
        <v>0.61446689934808973</v>
      </c>
      <c r="CK146">
        <v>-7.0034366763578326E-3</v>
      </c>
      <c r="CM146">
        <f t="array" ref="CM146:CP149">TRANSPOSE(BX146:CA149)</f>
        <v>-0.69687638058054724</v>
      </c>
      <c r="CN146">
        <v>-0.20611467432641267</v>
      </c>
      <c r="CO146">
        <v>0.68693525984351189</v>
      </c>
      <c r="CP146">
        <v>0</v>
      </c>
      <c r="CR146" s="5">
        <f t="array" ref="CR146:CU149">MMULT(CH146:CK149,CM146:CP149)</f>
        <v>0.88513044225552684</v>
      </c>
      <c r="CS146" s="5">
        <v>0.25261371092182849</v>
      </c>
      <c r="CT146" s="5">
        <v>-9.6923076303556122E-3</v>
      </c>
      <c r="CU146" s="5">
        <v>-7.0034366763578326E-3</v>
      </c>
      <c r="CW146" s="3">
        <f>SQRT(CR146+CS147)</f>
        <v>1.1797734856978273</v>
      </c>
      <c r="CX146" s="3">
        <f>CT148</f>
        <v>4.3739660697895699</v>
      </c>
      <c r="CY146" s="3">
        <f>CU149</f>
        <v>2.1003594879461605</v>
      </c>
      <c r="CZ146" s="3">
        <f>BD153</f>
        <v>4.8358255184041843</v>
      </c>
      <c r="DA146">
        <v>6</v>
      </c>
      <c r="DB146" s="6">
        <f>CY146*DA146*CZ146</f>
        <v>60.941832057794329</v>
      </c>
      <c r="DC146">
        <v>5.33</v>
      </c>
      <c r="DD146" s="6">
        <f>CZ146*DC146*SQRT(0.5*(CR146+CS147)+SQRT((0.5*(CR146-CS147))^2+CS146^2))</f>
        <v>25.923275617920726</v>
      </c>
    </row>
    <row r="147" spans="1:108">
      <c r="A147">
        <v>40</v>
      </c>
      <c r="B147">
        <f t="shared" si="28"/>
        <v>0.58333333333333326</v>
      </c>
      <c r="C147">
        <v>23</v>
      </c>
      <c r="D147">
        <v>21287088.329</v>
      </c>
      <c r="E147">
        <v>111864399.66148999</v>
      </c>
      <c r="F147">
        <v>-2072.223</v>
      </c>
      <c r="G147">
        <v>21287084.857000001</v>
      </c>
      <c r="H147">
        <v>87167050.608469993</v>
      </c>
      <c r="J147" s="5">
        <f>'sv23'!$AA$3+'sv23'!$Z$3*($B147)+'sv23'!$Y$3*($B147)^2+'sv23'!$X$3*($B147)^3+'sv23'!$W$3*($B147)^4+'sv23'!$V$3*($B147)^5+'sv23'!$U$3*($B147)^6+'sv23'!$T$3*($B147)^7+'sv23'!$S$3*($B147)^8</f>
        <v>7735.3644164895059</v>
      </c>
      <c r="K147" s="5">
        <f>'sv23'!$AA$4+'sv23'!$Z$4*($B147)+'sv23'!$Y$4*($B147)^2+'sv23'!$X$4*($B147)^3+'sv23'!$W$4*($B147)^4+'sv23'!$V$4*($B147)^5+'sv23'!$U$4*($B147)^6+'sv23'!$T$4*($B147)^7+'sv23'!$S$4*($B147)^8</f>
        <v>14042.4124299139</v>
      </c>
      <c r="L147" s="5">
        <f>'sv23'!$AA$5+'sv23'!$Z$5*($B147)+'sv23'!$Y$5*($B147)^2+'sv23'!$X$5*($B147)^3+'sv23'!$W$5*($B147)^4+'sv23'!$V$5*($B147)^5+'sv23'!$U$5*($B147)^6+'sv23'!$T$5*($B147)^7+'sv23'!$S$5*($B147)^8</f>
        <v>21090.6365583804</v>
      </c>
      <c r="M147" s="5">
        <f>'sv23'!$AA$6+'sv23'!$Z$6*$B147+'sv23'!$Y$6*$B147^2+'sv23'!$X$6*$B147^3+'sv23'!$W$6*$B147^4+'sv23'!$V$6*$B147^5+'sv23'!$U$6*$B147^6+'sv23'!$T$6*$B147^7+'sv23'!$S$6*$B147^8</f>
        <v>370.05593566329264</v>
      </c>
      <c r="O147">
        <f>SQRT(($J147*1000-coord!$B$2)^2+($K147*1000-coord!$C$2)^2+($L147*1000-coord!$D$2)^2)/coord!$B$6</f>
        <v>7.1376200340623225E-2</v>
      </c>
      <c r="Q147" s="5">
        <f>'sv23'!$AA$3+'sv23'!$Z$3*($B147-$O147/3600)+'sv23'!$Y$3*($B147-$O147/3600)^2+'sv23'!$X$3*($B147-$O147/3600)^3+'sv23'!$W$3*($B147-$O147/3600)^4+'sv23'!$V$3*($B147-$O147/3600)^5+'sv23'!$U$3*($B147-$O147/3600)^6+'sv23'!$T$3*($B147-$O147/3600)^7+'sv23'!$S$3*($B147-$O147/3600)^8+K147*coord!$B$7*O147</f>
        <v>7735.5552810762301</v>
      </c>
      <c r="R147" s="5">
        <f>'sv23'!$AA$4+'sv23'!$Z$4*($B147-$O147/3600)+'sv23'!$Y$4*($B147-$O147/3600)^2+'sv23'!$X$4*($B147-$O147/3600)^3+'sv23'!$W$4*($B147-$O147/3600)^4+'sv23'!$V$4*($B147-$O147/3600)^5+'sv23'!$U$4*($B147-$O147/3600)^6+'sv23'!$T$4*($B147-$O147/3600)^7+'sv23'!$S$4*($B147-$O147/3600)^8-J147*coord!$B$7*O147</f>
        <v>14042.220527127936</v>
      </c>
      <c r="S147" s="5">
        <f>'sv23'!$AA$5+'sv23'!$Z$5*($B147-$O147/3600)+'sv23'!$Y$5*($B147-$O147/3600)^2+'sv23'!$X$5*($B147-$O147/3600)^3+'sv23'!$W$5*($B147-$O147/3600)^4+'sv23'!$V$5*($B147-$O147/3600)^5+'sv23'!$U$5*($B147-$O147/3600)^6+'sv23'!$T$5*($B147-$O147/3600)^7+'sv23'!$S$5*($B147-$O147/3600)^8</f>
        <v>21090.696462015741</v>
      </c>
      <c r="T147">
        <f>coord!$B$6*M147/10^6</f>
        <v>110939.97854998836</v>
      </c>
      <c r="U147">
        <f>SQRT(($Q147*1000+coord!$B$7*$O147*$R147*1000-coord!$B$2)^2+($R147*1000-coord!$B$7*$O147*$Q147*1000-coord!$C$2)^2+($S147*1000-coord!$D$2)^2)</f>
        <v>21397991.889936596</v>
      </c>
      <c r="V147" s="3">
        <f>$D147-(U147-$T147)-coord!$E$2</f>
        <v>36.417613390833139</v>
      </c>
      <c r="W147" s="3"/>
      <c r="Y147">
        <f>-(Q147*1000-coord!$B$2)/$U147</f>
        <v>-0.15640145708486602</v>
      </c>
      <c r="Z147">
        <f>-(R147*1000-coord!$C$2)/$U147</f>
        <v>-0.61303183875385636</v>
      </c>
      <c r="AA147">
        <f>-(S147*1000-coord!$D$2)/$U147</f>
        <v>-0.77442351941020582</v>
      </c>
      <c r="AB147">
        <v>1</v>
      </c>
      <c r="AD147">
        <v>0.67677040024785062</v>
      </c>
      <c r="AE147">
        <v>-0.61303183875385636</v>
      </c>
      <c r="AF147">
        <v>0.7269561257080307</v>
      </c>
      <c r="AG147">
        <v>0.36444933119129275</v>
      </c>
      <c r="AH147">
        <v>-0.90792671028854055</v>
      </c>
      <c r="AI147">
        <v>-0.25292524920456416</v>
      </c>
      <c r="AJ147">
        <v>-0.25843417754718651</v>
      </c>
      <c r="AL147">
        <v>0.26615993432059926</v>
      </c>
      <c r="AM147">
        <v>2.4502050507528339</v>
      </c>
      <c r="AN147">
        <v>-0.41127508319262113</v>
      </c>
      <c r="AO147">
        <v>-0.26414211864697351</v>
      </c>
      <c r="AQ147">
        <v>0.21654152021299755</v>
      </c>
      <c r="AR147">
        <v>0.50434937164131355</v>
      </c>
      <c r="AS147">
        <v>0.48545764398255636</v>
      </c>
      <c r="AT147">
        <v>0.35487495179441364</v>
      </c>
      <c r="AV147">
        <v>-284.71543851592793</v>
      </c>
      <c r="AX147">
        <v>-107.44339245917377</v>
      </c>
      <c r="BA147">
        <f>SQRT(($Q147*1000+coord!$B$7*$O147*$R147*1000-coord!$B$2-AX$146)^2+($R147*1000-coord!$B$7*$O147*$Q147*1000-coord!$C$2-AX$147)^2+($S147*1000-coord!$D$2-AX$148)^2)</f>
        <v>21398021.162251998</v>
      </c>
      <c r="BB147" s="3">
        <f t="shared" ref="BB147:BB152" si="29">$D147-(BA147-$T147)-AX$149</f>
        <v>-2.8608942386984495</v>
      </c>
      <c r="BD147" s="1"/>
      <c r="BE147" s="1"/>
      <c r="BF147" s="1"/>
      <c r="BS147">
        <f>-SIN(RADIANS(BH146))*SIN(RADIANS(BI146))</f>
        <v>-0.14678830974924073</v>
      </c>
      <c r="BT147">
        <f>COS(RADIANS(BI146))</f>
        <v>0.97852784376701152</v>
      </c>
      <c r="BU147">
        <f>COS(RADIANS(BH146))*SIN(RADIANS(BI146))</f>
        <v>0.14469433677115401</v>
      </c>
      <c r="BW147" t="s">
        <v>94</v>
      </c>
      <c r="BX147">
        <v>-0.20611467432641267</v>
      </c>
      <c r="BY147">
        <v>0.97852784376701152</v>
      </c>
      <c r="BZ147">
        <v>-2.8364625281156072E-17</v>
      </c>
      <c r="CA147">
        <v>0</v>
      </c>
      <c r="CB147" s="1">
        <v>-105.502300996713</v>
      </c>
      <c r="CD147" s="1"/>
      <c r="CE147" s="1"/>
      <c r="CF147" s="1"/>
      <c r="CH147">
        <v>-0.32742016172462057</v>
      </c>
      <c r="CI147">
        <v>0.44888751822057338</v>
      </c>
      <c r="CJ147">
        <v>0.12867895713216645</v>
      </c>
      <c r="CK147">
        <v>-7.0908634482586774E-2</v>
      </c>
      <c r="CM147">
        <v>-0.14678830974924073</v>
      </c>
      <c r="CN147">
        <v>0.97852784376701152</v>
      </c>
      <c r="CO147">
        <v>0.14469433677115401</v>
      </c>
      <c r="CP147">
        <v>0</v>
      </c>
      <c r="CR147" s="5">
        <v>0.2526137109218286</v>
      </c>
      <c r="CS147" s="5">
        <v>0.50673503530007435</v>
      </c>
      <c r="CT147" s="5">
        <v>-6.8323915142206856E-2</v>
      </c>
      <c r="CU147" s="5">
        <v>-7.0908634482586774E-2</v>
      </c>
    </row>
    <row r="148" spans="1:108">
      <c r="A148">
        <v>40</v>
      </c>
      <c r="B148">
        <f t="shared" si="28"/>
        <v>0.58333333333333326</v>
      </c>
      <c r="C148">
        <v>10</v>
      </c>
      <c r="D148">
        <v>22652469.609999999</v>
      </c>
      <c r="E148">
        <v>119039536.00448</v>
      </c>
      <c r="F148">
        <v>2945.7179999999998</v>
      </c>
      <c r="G148">
        <v>22652469.296999998</v>
      </c>
      <c r="H148">
        <v>92758083.893460006</v>
      </c>
      <c r="J148" s="5">
        <f>'sv10'!$AA$3+'sv10'!$Z$3*($B148)+'sv10'!$Y$3*($B148)^2+'sv10'!$X$3*($B148)^3+'sv10'!$W$3*($B148)^4+'sv10'!$V$3*($B148)^5+'sv10'!$U$3*($B148)^6+'sv10'!$T$3*($B148)^7+'sv10'!$S$3*($B148)^8</f>
        <v>8436.6325825613985</v>
      </c>
      <c r="K148" s="5">
        <f>'sv10'!$AA$4+'sv10'!$Z$4*($B148)+'sv10'!$Y$4*($B148)^2+'sv10'!$X$4*($B148)^3+'sv10'!$W$4*($B148)^4+'sv10'!$V$4*($B148)^5+'sv10'!$U$4*($B148)^6+'sv10'!$T$4*($B148)^7+'sv10'!$S$4*($B148)^8</f>
        <v>-15533.260500121029</v>
      </c>
      <c r="L148" s="5">
        <f>'sv10'!$AA$5+'sv10'!$Z$5*($B148)+'sv10'!$Y$5*($B148)^2+'sv10'!$X$5*($B148)^3+'sv10'!$W$5*($B148)^4+'sv10'!$V$5*($B148)^5+'sv10'!$U$5*($B148)^6+'sv10'!$T$5*($B148)^7+'sv10'!$S$5*($B148)^8</f>
        <v>19529.807372195432</v>
      </c>
      <c r="M148" s="5">
        <f>'sv10'!$AA$6+'sv10'!$Z$6*$B148+'sv10'!$Y$6*$B148^2+'sv10'!$X$6*$B148^3+'sv10'!$W$6*$B148^4+'sv10'!$V$6*$B148^5+'sv10'!$U$6*$B148^6+'sv10'!$T$6*$B148^7+'sv10'!$S$6*$B148^8</f>
        <v>-43.001825224927678</v>
      </c>
      <c r="O148">
        <f>SQRT(($J148*1000-coord!$B$2)^2+($K148*1000-coord!$C$2)^2+($L148*1000-coord!$D$2)^2)/coord!$B$6</f>
        <v>7.551755455827161E-2</v>
      </c>
      <c r="Q148" s="5">
        <f>'sv10'!$AA$3+'sv10'!$Z$3*($B148-$O148/3600)+'sv10'!$Y$3*($B148-$O148/3600)^2+'sv10'!$X$3*($B148-$O148/3600)^3+'sv10'!$W$3*($B148-$O148/3600)^4+'sv10'!$V$3*($B148-$O148/3600)^5+'sv10'!$U$3*($B148-$O148/3600)^6+'sv10'!$T$3*($B148-$O148/3600)^7+'sv10'!$S$3*($B148-$O148/3600)^8+K148*coord!$B$7*O148</f>
        <v>8436.4615344009726</v>
      </c>
      <c r="R148" s="5">
        <f>'sv10'!$AA$4+'sv10'!$Z$4*($B148-$O148/3600)+'sv10'!$Y$4*($B148-$O148/3600)^2+'sv10'!$X$4*($B148-$O148/3600)^3+'sv10'!$W$4*($B148-$O148/3600)^4+'sv10'!$V$4*($B148-$O148/3600)^5+'sv10'!$U$4*($B148-$O148/3600)^6+'sv10'!$T$4*($B148-$O148/3600)^7+'sv10'!$S$4*($B148-$O148/3600)^8-J148*coord!$B$7*O148</f>
        <v>-15533.478479588808</v>
      </c>
      <c r="S148" s="5">
        <f>'sv10'!$AA$5+'sv10'!$Z$5*($B148-$O148/3600)+'sv10'!$Y$5*($B148-$O148/3600)^2+'sv10'!$X$5*($B148-$O148/3600)^3+'sv10'!$W$5*($B148-$O148/3600)^4+'sv10'!$V$5*($B148-$O148/3600)^5+'sv10'!$U$5*($B148-$O148/3600)^6+'sv10'!$T$5*($B148-$O148/3600)^7+'sv10'!$S$5*($B148-$O148/3600)^8</f>
        <v>19529.706247430509</v>
      </c>
      <c r="T148">
        <f>coord!$B$6*M148/10^6</f>
        <v>-12891.622882667471</v>
      </c>
      <c r="U148">
        <f>SQRT(($Q148*1000+coord!$B$7*$O148*$R148*1000-coord!$B$2)^2+($R148*1000-coord!$B$7*$O148*$Q148*1000-coord!$C$2)^2+($S148*1000-coord!$D$2)^2)</f>
        <v>22639672.616774809</v>
      </c>
      <c r="V148" s="3">
        <f>$D148-(U148-$T148)-coord!$E$2</f>
        <v>-94.629657477140427</v>
      </c>
      <c r="W148" s="3"/>
      <c r="Y148">
        <f>-(Q148*1000-coord!$B$2)/$U148</f>
        <v>-0.17878276917316932</v>
      </c>
      <c r="Z148">
        <f>-(R148*1000-coord!$C$2)/$U148</f>
        <v>0.7269561257080307</v>
      </c>
      <c r="AA148">
        <f>-(S148*1000-coord!$D$2)/$U148</f>
        <v>-0.66300066379974076</v>
      </c>
      <c r="AB148">
        <v>1</v>
      </c>
      <c r="AD148">
        <v>-0.71017307502376181</v>
      </c>
      <c r="AE148">
        <v>-0.77442351941020582</v>
      </c>
      <c r="AF148">
        <v>-0.66300066379974076</v>
      </c>
      <c r="AG148">
        <v>-0.36913268680943601</v>
      </c>
      <c r="AH148">
        <v>2.2166864869234092E-2</v>
      </c>
      <c r="AI148">
        <v>-0.85631540706659548</v>
      </c>
      <c r="AJ148">
        <v>-5.6677544710104263E-2</v>
      </c>
      <c r="AL148">
        <v>1.1239725949681254</v>
      </c>
      <c r="AM148">
        <v>-0.41127508319262113</v>
      </c>
      <c r="AN148">
        <v>2.4168861949265708</v>
      </c>
      <c r="AO148">
        <v>-3.4075560319506102</v>
      </c>
      <c r="AQ148">
        <v>1.6803988634297544</v>
      </c>
      <c r="AR148">
        <v>0.48545764398255631</v>
      </c>
      <c r="AS148">
        <v>2.6449189914125903</v>
      </c>
      <c r="AT148">
        <v>2.0781855878054856</v>
      </c>
      <c r="AV148">
        <v>125.42671458644614</v>
      </c>
      <c r="AX148">
        <v>46.894640237274331</v>
      </c>
      <c r="BA148">
        <f>SQRT(($Q148*1000+coord!$B$7*$O148*$R148*1000-coord!$B$2-AX$146)^2+($R148*1000-coord!$B$7*$O148*$Q148*1000-coord!$C$2-AX$147)^2+($S148*1000-coord!$D$2-AX$148)^2)</f>
        <v>22639563.101366878</v>
      </c>
      <c r="BB148" s="3">
        <f t="shared" si="29"/>
        <v>4.8795582259714934</v>
      </c>
      <c r="BD148" s="1"/>
      <c r="BE148" s="1"/>
      <c r="BF148" s="1"/>
      <c r="BS148">
        <f>COS(RADIANS(BH146))</f>
        <v>0.70200890472266608</v>
      </c>
      <c r="BT148">
        <v>0</v>
      </c>
      <c r="BU148">
        <f>SIN(RADIANS(BH146))</f>
        <v>0.71216816672053151</v>
      </c>
      <c r="BW148" t="s">
        <v>95</v>
      </c>
      <c r="BX148">
        <v>0.68693525984351189</v>
      </c>
      <c r="BY148">
        <v>0.14469433677115401</v>
      </c>
      <c r="BZ148">
        <v>0.71216816672053163</v>
      </c>
      <c r="CA148">
        <v>0</v>
      </c>
      <c r="CB148" s="1">
        <v>19.070050586581871</v>
      </c>
      <c r="CD148" s="1"/>
      <c r="CE148" s="1"/>
      <c r="CF148" s="1"/>
      <c r="CH148">
        <v>3.0254684204767583</v>
      </c>
      <c r="CI148">
        <v>0.56745398362053834</v>
      </c>
      <c r="CJ148">
        <v>3.1081953109560256</v>
      </c>
      <c r="CK148">
        <v>2.9250142874378144</v>
      </c>
      <c r="CM148">
        <v>0.70200890472266586</v>
      </c>
      <c r="CN148">
        <v>-2.8364625281156072E-17</v>
      </c>
      <c r="CO148">
        <v>0.71216816672053163</v>
      </c>
      <c r="CP148">
        <v>0</v>
      </c>
      <c r="CR148" s="5">
        <v>-9.6923076303552236E-3</v>
      </c>
      <c r="CS148" s="5">
        <v>-6.8323915142206898E-2</v>
      </c>
      <c r="CT148" s="5">
        <v>4.3739660697895699</v>
      </c>
      <c r="CU148" s="5">
        <v>2.9250142874378144</v>
      </c>
    </row>
    <row r="149" spans="1:108">
      <c r="A149">
        <v>40</v>
      </c>
      <c r="B149">
        <f t="shared" si="28"/>
        <v>0.58333333333333326</v>
      </c>
      <c r="C149">
        <v>4</v>
      </c>
      <c r="D149">
        <v>21254692.166000001</v>
      </c>
      <c r="E149">
        <v>111694158.48749</v>
      </c>
      <c r="F149">
        <v>-1264.098</v>
      </c>
      <c r="G149">
        <v>21254691.743000001</v>
      </c>
      <c r="H149">
        <v>87034405.629480004</v>
      </c>
      <c r="J149" s="5">
        <f>'sv04'!$AA$3+'sv04'!$Z$3*($B149)+'sv04'!$Y$3*($B149)^2+'sv04'!$X$3*($B149)^3+'sv04'!$W$3*($B149)^4+'sv04'!$V$3*($B149)^5+'sv04'!$U$3*($B149)^6+'sv04'!$T$3*($B149)^7+'sv04'!$S$3*($B149)^8</f>
        <v>22582.672853324264</v>
      </c>
      <c r="K149" s="5">
        <f>'sv04'!$AA$4+'sv04'!$Z$4*($B149)+'sv04'!$Y$4*($B149)^2+'sv04'!$X$4*($B149)^3+'sv04'!$W$4*($B149)^4+'sv04'!$V$4*($B149)^5+'sv04'!$U$4*($B149)^6+'sv04'!$T$4*($B149)^7+'sv04'!$S$4*($B149)^8</f>
        <v>-6831.0196802973678</v>
      </c>
      <c r="L149" s="5">
        <f>'sv04'!$AA$5+'sv04'!$Z$5*($B149)+'sv04'!$Y$5*($B149)^2+'sv04'!$X$5*($B149)^3+'sv04'!$W$5*($B149)^4+'sv04'!$V$5*($B149)^5+'sv04'!$U$5*($B149)^6+'sv04'!$T$5*($B149)^7+'sv04'!$S$5*($B149)^8</f>
        <v>12374.810276581302</v>
      </c>
      <c r="M149" s="5">
        <f>'sv04'!$AA$6+'sv04'!$Z$6*$B149+'sv04'!$Y$6*$B149^2+'sv04'!$X$6*$B149^3+'sv04'!$W$6*$B149^4+'sv04'!$V$6*$B149^5+'sv04'!$U$6*$B149^6+'sv04'!$T$6*$B149^7+'sv04'!$S$6*$B149^8</f>
        <v>86.60471553228129</v>
      </c>
      <c r="O149">
        <f>SQRT(($J149*1000-coord!$B$2)^2+($K149*1000-coord!$C$2)^2+($L149*1000-coord!$D$2)^2)/coord!$B$6</f>
        <v>7.0984747741473175E-2</v>
      </c>
      <c r="Q149" s="5">
        <f>'sv04'!$AA$3+'sv04'!$Z$3*($B149-$O149/3600)+'sv04'!$Y$3*($B149-$O149/3600)^2+'sv04'!$X$3*($B149-$O149/3600)^3+'sv04'!$W$3*($B149-$O149/3600)^4+'sv04'!$V$3*($B149-$O149/3600)^5+'sv04'!$U$3*($B149-$O149/3600)^6+'sv04'!$T$3*($B149-$O149/3600)^7+'sv04'!$S$3*($B149-$O149/3600)^8+K149*coord!$B$7*O149</f>
        <v>22582.527099915183</v>
      </c>
      <c r="R149" s="5">
        <f>'sv04'!$AA$4+'sv04'!$Z$4*($B149-$O149/3600)+'sv04'!$Y$4*($B149-$O149/3600)^2+'sv04'!$X$4*($B149-$O149/3600)^3+'sv04'!$W$4*($B149-$O149/3600)^4+'sv04'!$V$4*($B149-$O149/3600)^5+'sv04'!$U$4*($B149-$O149/3600)^6+'sv04'!$T$4*($B149-$O149/3600)^7+'sv04'!$S$4*($B149-$O149/3600)^8-J149*coord!$B$7*O149</f>
        <v>-6831.1665529249467</v>
      </c>
      <c r="S149" s="5">
        <f>'sv04'!$AA$5+'sv04'!$Z$5*($B149-$O149/3600)+'sv04'!$Y$5*($B149-$O149/3600)^2+'sv04'!$X$5*($B149-$O149/3600)^3+'sv04'!$W$5*($B149-$O149/3600)^4+'sv04'!$V$5*($B149-$O149/3600)^5+'sv04'!$U$5*($B149-$O149/3600)^6+'sv04'!$T$5*($B149-$O149/3600)^7+'sv04'!$S$5*($B149-$O149/3600)^8</f>
        <v>12374.990124835285</v>
      </c>
      <c r="T149">
        <f>coord!$B$6*M149/10^6</f>
        <v>25963.440543813384</v>
      </c>
      <c r="U149">
        <f>SQRT(($Q149*1000+coord!$B$7*$O149*$R149*1000-coord!$B$2)^2+($R149*1000-coord!$B$7*$O149*$Q149*1000-coord!$C$2)^2+($S149*1000-coord!$D$2)^2)</f>
        <v>21280699.68127916</v>
      </c>
      <c r="V149" s="3">
        <f>$D149-(U149-$T149)-coord!$E$2</f>
        <v>-44.074735347181559</v>
      </c>
      <c r="W149" s="3"/>
      <c r="Y149">
        <f>-(Q149*1000-coord!$B$2)/$U149</f>
        <v>-0.85493659520604559</v>
      </c>
      <c r="Z149">
        <f>-(R149*1000-coord!$C$2)/$U149</f>
        <v>0.36444933119129275</v>
      </c>
      <c r="AA149">
        <f>-(S149*1000-coord!$D$2)/$U149</f>
        <v>-0.36913268680943601</v>
      </c>
      <c r="AB149">
        <v>1</v>
      </c>
      <c r="AD149">
        <v>1</v>
      </c>
      <c r="AE149">
        <v>1</v>
      </c>
      <c r="AF149">
        <v>1</v>
      </c>
      <c r="AG149">
        <v>1</v>
      </c>
      <c r="AH149">
        <v>1</v>
      </c>
      <c r="AI149">
        <v>1</v>
      </c>
      <c r="AJ149">
        <v>1</v>
      </c>
      <c r="AL149">
        <v>-3.2173073658239755</v>
      </c>
      <c r="AM149">
        <v>-0.26414211864697351</v>
      </c>
      <c r="AN149">
        <v>-3.4075560319506102</v>
      </c>
      <c r="AO149">
        <v>7</v>
      </c>
      <c r="AQ149">
        <v>2.0287912892930335</v>
      </c>
      <c r="AR149">
        <v>0.35487495179441375</v>
      </c>
      <c r="AS149">
        <v>2.078185587805486</v>
      </c>
      <c r="AT149">
        <v>2.1003594879461605</v>
      </c>
      <c r="AV149">
        <v>-67.084667038172483</v>
      </c>
      <c r="AX149">
        <v>10.006192227947679</v>
      </c>
      <c r="BA149">
        <f>SQRT(($Q149*1000+coord!$B$7*$O149*$R149*1000-coord!$B$2-AX$146)^2+($R149*1000-coord!$B$7*$O149*$Q149*1000-coord!$C$2-AX$147)^2+($S149*1000-coord!$D$2-AX$148)^2)</f>
        <v>21280641.695006941</v>
      </c>
      <c r="BB149" s="3">
        <f t="shared" si="29"/>
        <v>3.9053446444392534</v>
      </c>
      <c r="BD149" s="1"/>
      <c r="BE149" s="1"/>
      <c r="BF149" s="1"/>
      <c r="BX149">
        <v>0</v>
      </c>
      <c r="BY149">
        <v>0</v>
      </c>
      <c r="BZ149">
        <v>0</v>
      </c>
      <c r="CA149">
        <v>1</v>
      </c>
      <c r="CD149" s="1"/>
      <c r="CE149" s="1"/>
      <c r="CF149" s="1"/>
      <c r="CH149">
        <v>2.0287912892930335</v>
      </c>
      <c r="CI149">
        <v>0.35487495179441375</v>
      </c>
      <c r="CJ149">
        <v>2.078185587805486</v>
      </c>
      <c r="CK149">
        <v>2.1003594879461605</v>
      </c>
      <c r="CM149">
        <v>0</v>
      </c>
      <c r="CN149">
        <v>0</v>
      </c>
      <c r="CO149">
        <v>0</v>
      </c>
      <c r="CP149">
        <v>1</v>
      </c>
      <c r="CR149" s="5">
        <v>-7.0034366763576106E-3</v>
      </c>
      <c r="CS149" s="5">
        <v>-7.0908634482586663E-2</v>
      </c>
      <c r="CT149" s="5">
        <v>2.9250142874378149</v>
      </c>
      <c r="CU149" s="5">
        <v>2.1003594879461605</v>
      </c>
    </row>
    <row r="150" spans="1:108">
      <c r="A150">
        <v>40</v>
      </c>
      <c r="B150">
        <f t="shared" si="28"/>
        <v>0.58333333333333326</v>
      </c>
      <c r="C150">
        <v>20</v>
      </c>
      <c r="D150">
        <v>23327340.120000001</v>
      </c>
      <c r="E150">
        <v>122585993.06148</v>
      </c>
      <c r="F150">
        <v>-3162.8620000000001</v>
      </c>
      <c r="G150">
        <v>23327339.638</v>
      </c>
      <c r="H150">
        <v>95521546.372449994</v>
      </c>
      <c r="J150" s="5">
        <f>'sv20'!$AA$3+'sv20'!$Z$3*($B150)+'sv20'!$Y$3*($B150)^2+'sv20'!$X$3*($B150)^3+'sv20'!$W$3*($B150)^4+'sv20'!$V$3*($B150)^5+'sv20'!$U$3*($B150)^6+'sv20'!$T$3*($B150)^7+'sv20'!$S$3*($B150)^8</f>
        <v>14159.232936735632</v>
      </c>
      <c r="K150" s="5">
        <f>'sv20'!$AA$4+'sv20'!$Z$4*($B150)+'sv20'!$Y$4*($B150)^2+'sv20'!$X$4*($B150)^3+'sv20'!$W$4*($B150)^4+'sv20'!$V$4*($B150)^5+'sv20'!$U$4*($B150)^6+'sv20'!$T$4*($B150)^7+'sv20'!$S$4*($B150)^8</f>
        <v>22119.306768613093</v>
      </c>
      <c r="L150" s="5">
        <f>'sv20'!$AA$5+'sv20'!$Z$5*($B150)+'sv20'!$Y$5*($B150)^2+'sv20'!$X$5*($B150)^3+'sv20'!$W$5*($B150)^4+'sv20'!$V$5*($B150)^5+'sv20'!$U$5*($B150)^6+'sv20'!$T$5*($B150)^7+'sv20'!$S$5*($B150)^8</f>
        <v>4001.8871521402248</v>
      </c>
      <c r="M150" s="5">
        <f>'sv20'!$AA$6+'sv20'!$Z$6*$B150+'sv20'!$Y$6*$B150^2+'sv20'!$X$6*$B150^3+'sv20'!$W$6*$B150^4+'sv20'!$V$6*$B150^5+'sv20'!$U$6*$B150^6+'sv20'!$T$6*$B150^7+'sv20'!$S$6*$B150^8</f>
        <v>55.817639263742272</v>
      </c>
      <c r="O150">
        <f>SQRT(($J150*1000-coord!$B$2)^2+($K150*1000-coord!$C$2)^2+($L150*1000-coord!$D$2)^2)/coord!$B$6</f>
        <v>7.7867371591025497E-2</v>
      </c>
      <c r="Q150" s="5">
        <f>'sv20'!$AA$3+'sv20'!$Z$3*($B150-$O150/3600)+'sv20'!$Y$3*($B150-$O150/3600)^2+'sv20'!$X$3*($B150-$O150/3600)^3+'sv20'!$W$3*($B150-$O150/3600)^4+'sv20'!$V$3*($B150-$O150/3600)^5+'sv20'!$U$3*($B150-$O150/3600)^6+'sv20'!$T$3*($B150-$O150/3600)^7+'sv20'!$S$3*($B150-$O150/3600)^8+K150*coord!$B$7*O150</f>
        <v>14159.364663378403</v>
      </c>
      <c r="R150" s="5">
        <f>'sv20'!$AA$4+'sv20'!$Z$4*($B150-$O150/3600)+'sv20'!$Y$4*($B150-$O150/3600)^2+'sv20'!$X$4*($B150-$O150/3600)^3+'sv20'!$W$4*($B150-$O150/3600)^4+'sv20'!$V$4*($B150-$O150/3600)^5+'sv20'!$U$4*($B150-$O150/3600)^6+'sv20'!$T$4*($B150-$O150/3600)^7+'sv20'!$S$4*($B150-$O150/3600)^8-J150*coord!$B$7*O150</f>
        <v>22119.177725482135</v>
      </c>
      <c r="S150" s="5">
        <f>'sv20'!$AA$5+'sv20'!$Z$5*($B150-$O150/3600)+'sv20'!$Y$5*($B150-$O150/3600)^2+'sv20'!$X$5*($B150-$O150/3600)^3+'sv20'!$W$5*($B150-$O150/3600)^4+'sv20'!$V$5*($B150-$O150/3600)^5+'sv20'!$U$5*($B150-$O150/3600)^6+'sv20'!$T$5*($B150-$O150/3600)^7+'sv20'!$S$5*($B150-$O150/3600)^8</f>
        <v>4002.1258014403752</v>
      </c>
      <c r="T150">
        <f>coord!$B$6*M150/10^6</f>
        <v>16733.707274634606</v>
      </c>
      <c r="U150">
        <f>SQRT(($Q150*1000+coord!$B$7*$O150*$R150*1000-coord!$B$2)^2+($R150*1000-coord!$B$7*$O150*$Q150*1000-coord!$C$2)^2+($S150*1000-coord!$D$2)^2)</f>
        <v>23343962.978626829</v>
      </c>
      <c r="V150" s="3">
        <f>$D150-(U150-$T150)-coord!$E$2</f>
        <v>110.84864780679345</v>
      </c>
      <c r="W150" s="3"/>
      <c r="Y150">
        <f>-(Q150*1000-coord!$B$2)/$U150</f>
        <v>-0.41854446485903118</v>
      </c>
      <c r="Z150">
        <f>-(R150*1000-coord!$C$2)/$U150</f>
        <v>-0.90792671028854055</v>
      </c>
      <c r="AA150">
        <f>-(S150*1000-coord!$D$2)/$U150</f>
        <v>2.2166864869234092E-2</v>
      </c>
      <c r="AB150">
        <v>1</v>
      </c>
      <c r="BA150">
        <f>SQRT(($Q150*1000+coord!$B$7*$O150*$R150*1000-coord!$B$2-AX$146)^2+($R150*1000-coord!$B$7*$O150*$Q150*1000-coord!$C$2-AX$147)^2+($S150*1000-coord!$D$2-AX$148)^2)</f>
        <v>23344060.825457633</v>
      </c>
      <c r="BB150" s="3">
        <f t="shared" si="29"/>
        <v>2.9956247749448153</v>
      </c>
      <c r="BD150" s="1"/>
      <c r="BE150" s="1"/>
      <c r="BF150" s="1"/>
      <c r="CD150" s="1"/>
      <c r="CE150" s="1"/>
      <c r="CF150" s="1"/>
    </row>
    <row r="151" spans="1:108">
      <c r="A151">
        <v>40</v>
      </c>
      <c r="B151">
        <f t="shared" si="28"/>
        <v>0.58333333333333326</v>
      </c>
      <c r="C151">
        <v>13</v>
      </c>
      <c r="D151">
        <v>20207599.772999998</v>
      </c>
      <c r="E151">
        <v>106191651.88449</v>
      </c>
      <c r="F151">
        <v>-886.85500000000002</v>
      </c>
      <c r="G151">
        <v>20207597.886</v>
      </c>
      <c r="H151">
        <v>82746733.572479993</v>
      </c>
      <c r="J151" s="5">
        <f>'sv13'!$AA$3+'sv13'!$Z$3*($B151)+'sv13'!$Y$3*($B151)^2+'sv13'!$X$3*($B151)^3+'sv13'!$W$3*($B151)^4+'sv13'!$V$3*($B151)^5+'sv13'!$U$3*($B151)^6+'sv13'!$T$3*($B151)^7+'sv13'!$S$3*($B151)^8</f>
        <v>13528.896261272472</v>
      </c>
      <c r="K151" s="5">
        <f>'sv13'!$AA$4+'sv13'!$Z$4*($B151)+'sv13'!$Y$4*($B151)^2+'sv13'!$X$4*($B151)^3+'sv13'!$W$4*($B151)^4+'sv13'!$V$4*($B151)^5+'sv13'!$U$4*($B151)^6+'sv13'!$T$4*($B151)^7+'sv13'!$S$4*($B151)^8</f>
        <v>6058.8644498335671</v>
      </c>
      <c r="L151" s="5">
        <f>'sv13'!$AA$5+'sv13'!$Z$5*($B151)+'sv13'!$Y$5*($B151)^2+'sv13'!$X$5*($B151)^3+'sv13'!$W$5*($B151)^4+'sv13'!$V$5*($B151)^5+'sv13'!$U$5*($B151)^6+'sv13'!$T$5*($B151)^7+'sv13'!$S$5*($B151)^8</f>
        <v>21901.798661731398</v>
      </c>
      <c r="M151" s="5">
        <f>'sv13'!$AA$6+'sv13'!$Z$6*$B151+'sv13'!$Y$6*$B151^2+'sv13'!$X$6*$B151^3+'sv13'!$W$6*$B151^4+'sv13'!$V$6*$B151^5+'sv13'!$U$6*$B151^6+'sv13'!$T$6*$B151^7+'sv13'!$S$6*$B151^8</f>
        <v>304.21925875307699</v>
      </c>
      <c r="O151">
        <f>SQRT(($J151*1000-coord!$B$2)^2+($K151*1000-coord!$C$2)^2+($L151*1000-coord!$D$2)^2)/coord!$B$6</f>
        <v>6.7709579587658941E-2</v>
      </c>
      <c r="Q151" s="5">
        <f>'sv13'!$AA$3+'sv13'!$Z$3*($B151-$O151/3600)+'sv13'!$Y$3*($B151-$O151/3600)^2+'sv13'!$X$3*($B151-$O151/3600)^3+'sv13'!$W$3*($B151-$O151/3600)^4+'sv13'!$V$3*($B151-$O151/3600)^5+'sv13'!$U$3*($B151-$O151/3600)^6+'sv13'!$T$3*($B151-$O151/3600)^7+'sv13'!$S$3*($B151-$O151/3600)^8+K151*coord!$B$7*O151</f>
        <v>13529.045757962253</v>
      </c>
      <c r="R151" s="5">
        <f>'sv13'!$AA$4+'sv13'!$Z$4*($B151-$O151/3600)+'sv13'!$Y$4*($B151-$O151/3600)^2+'sv13'!$X$4*($B151-$O151/3600)^3+'sv13'!$W$4*($B151-$O151/3600)^4+'sv13'!$V$4*($B151-$O151/3600)^5+'sv13'!$U$4*($B151-$O151/3600)^6+'sv13'!$T$4*($B151-$O151/3600)^7+'sv13'!$S$4*($B151-$O151/3600)^8-J151*coord!$B$7*O151</f>
        <v>6058.6500257724765</v>
      </c>
      <c r="S151" s="5">
        <f>'sv13'!$AA$5+'sv13'!$Z$5*($B151-$O151/3600)+'sv13'!$Y$5*($B151-$O151/3600)^2+'sv13'!$X$5*($B151-$O151/3600)^3+'sv13'!$W$5*($B151-$O151/3600)^4+'sv13'!$V$5*($B151-$O151/3600)^5+'sv13'!$U$5*($B151-$O151/3600)^6+'sv13'!$T$5*($B151-$O151/3600)^7+'sv13'!$S$5*($B151-$O151/3600)^8</f>
        <v>21901.766045960983</v>
      </c>
      <c r="T151">
        <f>coord!$B$6*M151/10^6</f>
        <v>91202.639352522965</v>
      </c>
      <c r="U151">
        <f>SQRT(($Q151*1000+coord!$B$7*$O151*$R151*1000-coord!$B$2)^2+($R151*1000-coord!$B$7*$O151*$Q151*1000-coord!$C$2)^2+($S151*1000-coord!$D$2)^2)</f>
        <v>20298803.020729925</v>
      </c>
      <c r="V151" s="3">
        <f>$D151-(U151-$T151)-coord!$E$2</f>
        <v>-0.60837740451097488</v>
      </c>
      <c r="W151" s="3"/>
      <c r="Y151">
        <f>-(Q151*1000-coord!$B$2)/$U151</f>
        <v>-0.45028111154278205</v>
      </c>
      <c r="Z151">
        <f>-(R151*1000-coord!$C$2)/$U151</f>
        <v>-0.25292524920456416</v>
      </c>
      <c r="AA151">
        <f>-(S151*1000-coord!$D$2)/$U151</f>
        <v>-0.85631540706659548</v>
      </c>
      <c r="AB151">
        <v>1</v>
      </c>
      <c r="BA151">
        <f>SQRT(($Q151*1000+coord!$B$7*$O151*$R151*1000-coord!$B$2-AX$146)^2+($R151*1000-coord!$B$7*$O151*$Q151*1000-coord!$C$2-AX$147)^2+($S151*1000-coord!$D$2-AX$148)^2)</f>
        <v>20298789.239792176</v>
      </c>
      <c r="BB151" s="3">
        <f t="shared" si="29"/>
        <v>3.1663681174338194</v>
      </c>
      <c r="BD151" s="1"/>
      <c r="BE151" s="1"/>
      <c r="BF151" s="1"/>
      <c r="CD151" s="1"/>
      <c r="CE151" s="1"/>
      <c r="CF151" s="1"/>
    </row>
    <row r="152" spans="1:108">
      <c r="A152">
        <v>40</v>
      </c>
      <c r="B152">
        <f t="shared" si="28"/>
        <v>0.58333333333333326</v>
      </c>
      <c r="C152">
        <v>7</v>
      </c>
      <c r="D152">
        <v>21576584.489</v>
      </c>
      <c r="E152">
        <v>113385723.65549</v>
      </c>
      <c r="F152">
        <v>2657.3429999999998</v>
      </c>
      <c r="G152">
        <v>21576583.620999999</v>
      </c>
      <c r="H152">
        <v>88352512.748469993</v>
      </c>
      <c r="J152" s="5">
        <f>'sv07'!$AA$3+'sv07'!$Z$3*($B152)+'sv07'!$Y$3*($B152)^2+'sv07'!$X$3*($B152)^3+'sv07'!$W$3*($B152)^4+'sv07'!$V$3*($B152)^5+'sv07'!$U$3*($B152)^6+'sv07'!$T$3*($B152)^7+'sv07'!$S$3*($B152)^8</f>
        <v>25196.278370805794</v>
      </c>
      <c r="K152" s="5">
        <f>'sv07'!$AA$4+'sv07'!$Z$4*($B152)+'sv07'!$Y$4*($B152)^2+'sv07'!$X$4*($B152)^3+'sv07'!$W$4*($B152)^4+'sv07'!$V$4*($B152)^5+'sv07'!$U$4*($B152)^6+'sv07'!$T$4*($B152)^7+'sv07'!$S$4*($B152)^8</f>
        <v>6500.7834730099457</v>
      </c>
      <c r="L152" s="5">
        <f>'sv07'!$AA$5+'sv07'!$Z$5*($B152)+'sv07'!$Y$5*($B152)^2+'sv07'!$X$5*($B152)^3+'sv07'!$W$5*($B152)^4+'sv07'!$V$5*($B152)^5+'sv07'!$U$5*($B152)^6+'sv07'!$T$5*($B152)^7+'sv07'!$S$5*($B152)^8</f>
        <v>5742.7051595301618</v>
      </c>
      <c r="M152" s="5">
        <f>'sv07'!$AA$6+'sv07'!$Z$6*$B152+'sv07'!$Y$6*$B152^2+'sv07'!$X$6*$B152^3+'sv07'!$W$6*$B152^4+'sv07'!$V$6*$B152^5+'sv07'!$U$6*$B152^6+'sv07'!$T$6*$B152^7+'sv07'!$S$6*$B152^8</f>
        <v>-0.63800749252243438</v>
      </c>
      <c r="O152">
        <f>SQRT(($J152*1000-coord!$B$2)^2+($K152*1000-coord!$C$2)^2+($L152*1000-coord!$D$2)^2)/coord!$B$6</f>
        <v>7.1970894273909222E-2</v>
      </c>
      <c r="Q152" s="5">
        <f>'sv07'!$AA$3+'sv07'!$Z$3*($B152-$O152/3600)+'sv07'!$Y$3*($B152-$O152/3600)^2+'sv07'!$X$3*($B152-$O152/3600)^3+'sv07'!$W$3*($B152-$O152/3600)^4+'sv07'!$V$3*($B152-$O152/3600)^5+'sv07'!$U$3*($B152-$O152/3600)^6+'sv07'!$T$3*($B152-$O152/3600)^7+'sv07'!$S$3*($B152-$O152/3600)^8+K152*coord!$B$7*O152</f>
        <v>25196.366140686467</v>
      </c>
      <c r="R152" s="5">
        <f>'sv07'!$AA$4+'sv07'!$Z$4*($B152-$O152/3600)+'sv07'!$Y$4*($B152-$O152/3600)^2+'sv07'!$X$4*($B152-$O152/3600)^3+'sv07'!$W$4*($B152-$O152/3600)^4+'sv07'!$V$4*($B152-$O152/3600)^5+'sv07'!$U$4*($B152-$O152/3600)^6+'sv07'!$T$4*($B152-$O152/3600)^7+'sv07'!$S$4*($B152-$O152/3600)^8-J152*coord!$B$7*O152</f>
        <v>6500.6403915850251</v>
      </c>
      <c r="S152" s="5">
        <f>'sv07'!$AA$5+'sv07'!$Z$5*($B152-$O152/3600)+'sv07'!$Y$5*($B152-$O152/3600)^2+'sv07'!$X$5*($B152-$O152/3600)^3+'sv07'!$W$5*($B152-$O152/3600)^4+'sv07'!$V$5*($B152-$O152/3600)^5+'sv07'!$U$5*($B152-$O152/3600)^6+'sv07'!$T$5*($B152-$O152/3600)^7+'sv07'!$S$5*($B152-$O152/3600)^8</f>
        <v>5742.4836739782877</v>
      </c>
      <c r="T152">
        <f>coord!$B$6*M152/10^6</f>
        <v>-191.26983440571723</v>
      </c>
      <c r="U152">
        <f>SQRT(($Q152*1000+coord!$B$7*$O152*$R152*1000-coord!$B$2)^2+($R152*1000-coord!$B$7*$O152*$Q152*1000-coord!$C$2)^2+($S152*1000-coord!$D$2)^2)</f>
        <v>21576365.13601964</v>
      </c>
      <c r="V152" s="3">
        <f>$D152-(U152-$T152)-coord!$E$2</f>
        <v>28.083145953714848</v>
      </c>
      <c r="W152" s="3" t="s">
        <v>127</v>
      </c>
      <c r="X152" s="1" t="s">
        <v>128</v>
      </c>
      <c r="Y152">
        <f>-(Q152*1000-coord!$B$2)/$U152</f>
        <v>-0.96436484267456124</v>
      </c>
      <c r="Z152">
        <f>-(R152*1000-coord!$C$2)/$U152</f>
        <v>-0.25843417754718651</v>
      </c>
      <c r="AA152">
        <f>-(S152*1000-coord!$D$2)/$U152</f>
        <v>-5.6677544710104263E-2</v>
      </c>
      <c r="AB152">
        <v>1</v>
      </c>
      <c r="BA152">
        <f>SQRT(($Q152*1000+coord!$B$7*$O152*$R152*1000-coord!$B$2-AX$146)^2+($R152*1000-coord!$B$7*$O152*$Q152*1000-coord!$C$2-AX$147)^2+($S152*1000-coord!$D$2-AX$148)^2)</f>
        <v>21576388.532637741</v>
      </c>
      <c r="BB152" s="3">
        <f t="shared" si="29"/>
        <v>-5.3196643759786753</v>
      </c>
      <c r="BC152" s="3" t="s">
        <v>127</v>
      </c>
      <c r="BD152" s="1" t="s">
        <v>128</v>
      </c>
      <c r="BE152" s="1"/>
      <c r="BF152" s="1"/>
      <c r="CD152" s="1"/>
      <c r="CE152" s="1"/>
      <c r="CF152" s="1"/>
    </row>
    <row r="153" spans="1:108">
      <c r="V153" s="3"/>
      <c r="W153" s="3">
        <f>AVERAGE($V146:$V152)</f>
        <v>-9.5835238625960688</v>
      </c>
      <c r="X153" s="1">
        <f>SQRT(DEVSQ($V146:$V152)/6)</f>
        <v>76.693272943529436</v>
      </c>
      <c r="BB153" s="3"/>
      <c r="BC153" s="3">
        <f>AVERAGE($BB146:$BB152)</f>
        <v>1.8024246099912489E-4</v>
      </c>
      <c r="BD153" s="1">
        <f>SQRT(DEVSQ($BB146:$BB152)/6)</f>
        <v>4.8358255184041843</v>
      </c>
      <c r="BE153" s="1"/>
      <c r="BF153" s="1"/>
      <c r="CD153" s="1"/>
      <c r="CE153" s="1"/>
      <c r="CF153" s="1"/>
    </row>
    <row r="154" spans="1:108">
      <c r="A154">
        <v>42</v>
      </c>
      <c r="B154">
        <f t="shared" ref="B154:B160" si="30">(60-45)/60+30*A154/3600</f>
        <v>0.6</v>
      </c>
      <c r="C154">
        <v>2</v>
      </c>
      <c r="D154">
        <v>22382907.579</v>
      </c>
      <c r="E154">
        <v>117622978.68849</v>
      </c>
      <c r="F154">
        <v>1950.2329999999999</v>
      </c>
      <c r="G154">
        <v>22382904.791999999</v>
      </c>
      <c r="H154">
        <v>91654258.589469999</v>
      </c>
      <c r="J154" s="5">
        <f>'sv02'!$AA$3+'sv02'!$Z$3*($B154)+'sv02'!$Y$3*($B154)^2+'sv02'!$X$3*($B154)^3+'sv02'!$W$3*($B154)^4+'sv02'!$V$3*($B154)^5+'sv02'!$U$3*($B154)^6+'sv02'!$T$3*($B154)^7+'sv02'!$S$3*($B154)^8</f>
        <v>8906.9042582689781</v>
      </c>
      <c r="K154" s="5">
        <f>'sv02'!$AA$4+'sv02'!$Z$4*($B154)+'sv02'!$Y$4*($B154)^2+'sv02'!$X$4*($B154)^3+'sv02'!$W$4*($B154)^4+'sv02'!$V$4*($B154)^5+'sv02'!$U$4*($B154)^6+'sv02'!$T$4*($B154)^7+'sv02'!$S$4*($B154)^8</f>
        <v>-14270.961915195739</v>
      </c>
      <c r="L154" s="5">
        <f>'sv02'!$AA$5+'sv02'!$Z$5*($B154)+'sv02'!$Y$5*($B154)^2+'sv02'!$X$5*($B154)^3+'sv02'!$W$5*($B154)^4+'sv02'!$V$5*($B154)^5+'sv02'!$U$5*($B154)^6+'sv02'!$T$5*($B154)^7+'sv02'!$S$5*($B154)^8</f>
        <v>20430.020363037285</v>
      </c>
      <c r="M154" s="5">
        <f>'sv02'!$AA$6+'sv02'!$Z$6*$B154+'sv02'!$Y$6*$B154^2+'sv02'!$X$6*$B154^3+'sv02'!$W$6*$B154^4+'sv02'!$V$6*$B154^5+'sv02'!$U$6*$B154^6+'sv02'!$T$6*$B154^7+'sv02'!$S$6*$B154^8</f>
        <v>257.59384507321153</v>
      </c>
      <c r="O154">
        <f>SQRT(($J154*1000-coord!$B$2)^2+($K154*1000-coord!$C$2)^2+($L154*1000-coord!$D$2)^2)/coord!$B$6</f>
        <v>7.4919016000267513E-2</v>
      </c>
      <c r="Q154" s="5">
        <f>'sv02'!$AA$3+'sv02'!$Z$3*($B154-$O154/3600)+'sv02'!$Y$3*($B154-$O154/3600)^2+'sv02'!$X$3*($B154-$O154/3600)^3+'sv02'!$W$3*($B154-$O154/3600)^4+'sv02'!$V$3*($B154-$O154/3600)^5+'sv02'!$U$3*($B154-$O154/3600)^6+'sv02'!$T$3*($B154-$O154/3600)^7+'sv02'!$S$3*($B154-$O154/3600)^8+K154*coord!$B$7*O154</f>
        <v>8906.6314725068078</v>
      </c>
      <c r="R154" s="5">
        <f>'sv02'!$AA$4+'sv02'!$Z$4*($B154-$O154/3600)+'sv02'!$Y$4*($B154-$O154/3600)^2+'sv02'!$X$4*($B154-$O154/3600)^3+'sv02'!$W$4*($B154-$O154/3600)^4+'sv02'!$V$4*($B154-$O154/3600)^5+'sv02'!$U$4*($B154-$O154/3600)^6+'sv02'!$T$4*($B154-$O154/3600)^7+'sv02'!$S$4*($B154-$O154/3600)^8-J154*coord!$B$7*O154</f>
        <v>-14271.035241035139</v>
      </c>
      <c r="S154" s="5">
        <f>'sv02'!$AA$5+'sv02'!$Z$5*($B154-$O154/3600)+'sv02'!$Y$5*($B154-$O154/3600)^2+'sv02'!$X$5*($B154-$O154/3600)^3+'sv02'!$W$5*($B154-$O154/3600)^4+'sv02'!$V$5*($B154-$O154/3600)^5+'sv02'!$U$5*($B154-$O154/3600)^6+'sv02'!$T$5*($B154-$O154/3600)^7+'sv02'!$S$5*($B154-$O154/3600)^8</f>
        <v>20430.091408607179</v>
      </c>
      <c r="T154">
        <f>coord!$B$6*M154/10^6</f>
        <v>77224.691980169271</v>
      </c>
      <c r="U154">
        <f>SQRT(($Q154*1000+coord!$B$7*$O154*$R154*1000-coord!$B$2)^2+($R154*1000-coord!$B$7*$O154*$Q154*1000-coord!$C$2)^2+($S154*1000-coord!$D$2)^2)</f>
        <v>22460218.261350982</v>
      </c>
      <c r="V154" s="3">
        <f>$D154-(U154-$T154)-coord!$E$2</f>
        <v>-85.990370813757181</v>
      </c>
      <c r="W154" s="3"/>
      <c r="Y154">
        <f>-(Q154*1000-coord!$B$2)/$U154</f>
        <v>-0.20114467495985344</v>
      </c>
      <c r="Z154">
        <f>-(R154*1000-coord!$C$2)/$U154</f>
        <v>0.67655644648758295</v>
      </c>
      <c r="AA154">
        <f>-(S154*1000-coord!$D$2)/$U154</f>
        <v>-0.70838595374140234</v>
      </c>
      <c r="AB154">
        <v>1</v>
      </c>
      <c r="AD154">
        <f t="array" ref="AD154:AJ157">TRANSPOSE(Y154:AB160)</f>
        <v>-0.20114467495985344</v>
      </c>
      <c r="AE154">
        <v>-0.15162195549243726</v>
      </c>
      <c r="AF154">
        <v>-0.18206902387189677</v>
      </c>
      <c r="AG154">
        <v>-0.85870585399395361</v>
      </c>
      <c r="AH154">
        <v>-0.41768396406059521</v>
      </c>
      <c r="AI154">
        <v>-0.44484475471029516</v>
      </c>
      <c r="AJ154">
        <v>-0.96360818351432698</v>
      </c>
      <c r="AL154">
        <f t="array" ref="AL154:AO157">MMULT(AD154:AJ157,Y154:AB160)</f>
        <v>2.1348607517516225</v>
      </c>
      <c r="AM154">
        <v>0.25889034838898928</v>
      </c>
      <c r="AN154">
        <v>1.1233139174832358</v>
      </c>
      <c r="AO154">
        <v>-3.2196784106033585</v>
      </c>
      <c r="AQ154">
        <f t="array" ref="AQ154:AT157">MINVERSE(AL154:AO157)</f>
        <v>2.623287990297789</v>
      </c>
      <c r="AR154">
        <v>0.23689688087301528</v>
      </c>
      <c r="AS154">
        <v>1.6909604424536213</v>
      </c>
      <c r="AT154">
        <v>2.037832183600548</v>
      </c>
      <c r="AV154">
        <f t="array" ref="AV154:AV157">MMULT(AD154:AJ157,V154:V160)</f>
        <v>-0.49028744626327025</v>
      </c>
      <c r="AX154">
        <f t="array" ref="AX154:AX157">MMULT(AQ154:AT157,AV154:AV157)</f>
        <v>5.1759666894955956</v>
      </c>
      <c r="BA154">
        <f>SQRT(($Q154*1000+coord!$B$7*$O154*$R154*1000-coord!$B$2-AX$154)^2+($R154*1000-coord!$B$7*$O154*$Q154*1000-coord!$C$2-AX$155)^2+($S154*1000-coord!$D$2-AX$156)^2)</f>
        <v>22460128.366652306</v>
      </c>
      <c r="BB154" s="3">
        <f>$D154-(BA154-$T154)-AX$157</f>
        <v>-6.8055111483092361</v>
      </c>
      <c r="BD154" s="1">
        <f>coord!$B$2+$AX154</f>
        <v>4388883.3467666898</v>
      </c>
      <c r="BE154" s="1">
        <f>coord!$C$2+$AX155</f>
        <v>924481.63959642709</v>
      </c>
      <c r="BF154" s="1">
        <f>coord!$D$2+$AX156</f>
        <v>4519629.1113556363</v>
      </c>
      <c r="BG154" s="1">
        <f>coord!$E$2+$AX157</f>
        <v>10.709839010273939</v>
      </c>
      <c r="BH154" s="8">
        <f>lat($BD154,$BE154,$BF154)</f>
        <v>45.411513754378738</v>
      </c>
      <c r="BI154" s="8">
        <f>lon($BD154,$BE154,$BF154)</f>
        <v>11.894985725618341</v>
      </c>
      <c r="BJ154" s="6">
        <f>h($BD154,$BE154,$BF154)</f>
        <v>81.942472356371582</v>
      </c>
      <c r="BL154">
        <f>grado($BH154)</f>
        <v>45</v>
      </c>
      <c r="BM154">
        <f>MINUTOprimo($BH154)</f>
        <v>24</v>
      </c>
      <c r="BN154">
        <f>MINUTOsecondo($BH154)</f>
        <v>41.44951576345818</v>
      </c>
      <c r="BO154">
        <f>grado($BI154)</f>
        <v>11</v>
      </c>
      <c r="BP154">
        <f>MINUTOprimo($BI154)</f>
        <v>53</v>
      </c>
      <c r="BQ154">
        <f>MINUTOsecondo($BI154)</f>
        <v>41.948612226026398</v>
      </c>
      <c r="BS154">
        <f>-SIN(RADIANS(BH154))*COS(RADIANS(BI154))</f>
        <v>-0.69687478605091813</v>
      </c>
      <c r="BT154">
        <f>-SIN(RADIANS(BI154))</f>
        <v>-0.2061185498085347</v>
      </c>
      <c r="BU154">
        <f>COS(RADIANS(BH154))*COS(RADIANS(BI154))</f>
        <v>0.68693571459876346</v>
      </c>
      <c r="BW154" t="s">
        <v>93</v>
      </c>
      <c r="BX154">
        <f t="array" ref="BX154:BZ156">MINVERSE(BS154:BU156)</f>
        <v>-0.69687478605091813</v>
      </c>
      <c r="BY154">
        <v>-0.14679085632939842</v>
      </c>
      <c r="BZ154">
        <v>0.70200995510360742</v>
      </c>
      <c r="CA154">
        <v>0</v>
      </c>
      <c r="CB154" s="1">
        <f t="array" ref="CB154:CB156">MMULT(BX154:BZ156,AX154:AX156)</f>
        <v>38.062814031186605</v>
      </c>
      <c r="CD154" s="1">
        <f t="array" ref="CD154:CF154">TRANSPOSE(CB154:CB156)</f>
        <v>38.062814031186605</v>
      </c>
      <c r="CE154" s="1">
        <v>-87.738527761474316</v>
      </c>
      <c r="CF154" s="1">
        <v>19.822006164575399</v>
      </c>
      <c r="CH154">
        <f t="array" ref="CH154:CK157">MMULT(BX154:CA157,AQ154:AT157)</f>
        <v>-0.6758064887049855</v>
      </c>
      <c r="CI154">
        <v>0.1108132307744526</v>
      </c>
      <c r="CJ154">
        <v>0.61015938441845008</v>
      </c>
      <c r="CK154">
        <v>-9.873333323658473E-3</v>
      </c>
      <c r="CM154">
        <f t="array" ref="CM154:CP157">TRANSPOSE(BX154:CA157)</f>
        <v>-0.69687478605091813</v>
      </c>
      <c r="CN154">
        <v>-0.20611854980853472</v>
      </c>
      <c r="CO154">
        <v>0.68693571459876335</v>
      </c>
      <c r="CP154">
        <v>0</v>
      </c>
      <c r="CR154" s="5">
        <f t="array" ref="CR154:CU157">MMULT(CH154:CK157,CM154:CP157)</f>
        <v>0.88302409525174075</v>
      </c>
      <c r="CS154" s="5">
        <v>0.24772999471349258</v>
      </c>
      <c r="CT154" s="5">
        <v>-1.366578239375027E-2</v>
      </c>
      <c r="CU154" s="5">
        <v>-9.873333323658473E-3</v>
      </c>
      <c r="CW154" s="3">
        <f>SQRT(CR154+CS155)</f>
        <v>1.1769955088159538</v>
      </c>
      <c r="CX154" s="3">
        <f>CT156</f>
        <v>4.3980986571579059</v>
      </c>
      <c r="CY154" s="3">
        <f>CU157</f>
        <v>2.1091564379729628</v>
      </c>
      <c r="CZ154" s="3">
        <f>BD161</f>
        <v>4.8256362881311858</v>
      </c>
      <c r="DA154">
        <v>6</v>
      </c>
      <c r="DB154" s="6">
        <f>CY154*DA154*CZ154</f>
        <v>61.068131066567048</v>
      </c>
      <c r="DC154">
        <v>5.33</v>
      </c>
      <c r="DD154" s="6">
        <f>CZ154*DC154*SQRT(0.5*(CR154+CS155)+SQRT((0.5*(CR154-CS155))^2+CS154^2))</f>
        <v>25.785934060246785</v>
      </c>
    </row>
    <row r="155" spans="1:108">
      <c r="A155">
        <v>42</v>
      </c>
      <c r="B155">
        <f t="shared" si="30"/>
        <v>0.6</v>
      </c>
      <c r="C155">
        <v>23</v>
      </c>
      <c r="D155">
        <v>21310838.675999999</v>
      </c>
      <c r="E155">
        <v>111989208.16848999</v>
      </c>
      <c r="F155">
        <v>-2088.386</v>
      </c>
      <c r="G155">
        <v>21310835.103</v>
      </c>
      <c r="H155">
        <v>87264303.958470002</v>
      </c>
      <c r="J155" s="5">
        <f>'sv23'!$AA$3+'sv23'!$Z$3*($B155)+'sv23'!$Y$3*($B155)^2+'sv23'!$X$3*($B155)^3+'sv23'!$W$3*($B155)^4+'sv23'!$V$3*($B155)^5+'sv23'!$U$3*($B155)^6+'sv23'!$T$3*($B155)^7+'sv23'!$S$3*($B155)^8</f>
        <v>7636.6945984044914</v>
      </c>
      <c r="K155" s="5">
        <f>'sv23'!$AA$4+'sv23'!$Z$4*($B155)+'sv23'!$Y$4*($B155)^2+'sv23'!$X$4*($B155)^3+'sv23'!$W$4*($B155)^4+'sv23'!$V$4*($B155)^5+'sv23'!$U$4*($B155)^6+'sv23'!$T$4*($B155)^7+'sv23'!$S$4*($B155)^8</f>
        <v>14169.908358959292</v>
      </c>
      <c r="L155" s="5">
        <f>'sv23'!$AA$5+'sv23'!$Z$5*($B155)+'sv23'!$Y$5*($B155)^2+'sv23'!$X$5*($B155)^3+'sv23'!$W$5*($B155)^4+'sv23'!$V$5*($B155)^5+'sv23'!$U$5*($B155)^6+'sv23'!$T$5*($B155)^7+'sv23'!$S$5*($B155)^8</f>
        <v>21039.46638895791</v>
      </c>
      <c r="M155" s="5">
        <f>'sv23'!$AA$6+'sv23'!$Z$6*$B155+'sv23'!$Y$6*$B155^2+'sv23'!$X$6*$B155^3+'sv23'!$W$6*$B155^4+'sv23'!$V$6*$B155^5+'sv23'!$U$6*$B155^6+'sv23'!$T$6*$B155^7+'sv23'!$S$6*$B155^8</f>
        <v>370.0558548529246</v>
      </c>
      <c r="O155">
        <f>SQRT(($J155*1000-coord!$B$2)^2+($K155*1000-coord!$C$2)^2+($L155*1000-coord!$D$2)^2)/coord!$B$6</f>
        <v>7.1455445165761952E-2</v>
      </c>
      <c r="Q155" s="5">
        <f>'sv23'!$AA$3+'sv23'!$Z$3*($B155-$O155/3600)+'sv23'!$Y$3*($B155-$O155/3600)^2+'sv23'!$X$3*($B155-$O155/3600)^3+'sv23'!$W$3*($B155-$O155/3600)^4+'sv23'!$V$3*($B155-$O155/3600)^5+'sv23'!$U$3*($B155-$O155/3600)^6+'sv23'!$T$3*($B155-$O155/3600)^7+'sv23'!$S$3*($B155-$O155/3600)^8+K155*coord!$B$7*O155</f>
        <v>7636.8855416869601</v>
      </c>
      <c r="R155" s="5">
        <f>'sv23'!$AA$4+'sv23'!$Z$4*($B155-$O155/3600)+'sv23'!$Y$4*($B155-$O155/3600)^2+'sv23'!$X$4*($B155-$O155/3600)^3+'sv23'!$W$4*($B155-$O155/3600)^4+'sv23'!$V$4*($B155-$O155/3600)^5+'sv23'!$U$4*($B155-$O155/3600)^6+'sv23'!$T$4*($B155-$O155/3600)^7+'sv23'!$S$4*($B155-$O155/3600)^8-J155*coord!$B$7*O155</f>
        <v>14169.716703732776</v>
      </c>
      <c r="S155" s="5">
        <f>'sv23'!$AA$5+'sv23'!$Z$5*($B155-$O155/3600)+'sv23'!$Y$5*($B155-$O155/3600)^2+'sv23'!$X$5*($B155-$O155/3600)^3+'sv23'!$W$5*($B155-$O155/3600)^4+'sv23'!$V$5*($B155-$O155/3600)^5+'sv23'!$U$5*($B155-$O155/3600)^6+'sv23'!$T$5*($B155-$O155/3600)^7+'sv23'!$S$5*($B155-$O155/3600)^8</f>
        <v>21039.528295353623</v>
      </c>
      <c r="T155">
        <f>coord!$B$6*M155/10^6</f>
        <v>110939.95432364949</v>
      </c>
      <c r="U155">
        <f>SQRT(($Q155*1000+coord!$B$7*$O155*$R155*1000-coord!$B$2)^2+($R155*1000-coord!$B$7*$O155*$Q155*1000-coord!$C$2)^2+($S155*1000-coord!$D$2)^2)</f>
        <v>21421748.323572882</v>
      </c>
      <c r="V155" s="3">
        <f>$D155-(U155-$T155)-coord!$E$2</f>
        <v>30.306750766932964</v>
      </c>
      <c r="W155" s="3"/>
      <c r="Y155">
        <f>-(Q155*1000-coord!$B$2)/$U155</f>
        <v>-0.15162195549243726</v>
      </c>
      <c r="Z155">
        <f>-(R155*1000-coord!$C$2)/$U155</f>
        <v>-0.61830371127820483</v>
      </c>
      <c r="AA155">
        <f>-(S155*1000-coord!$D$2)/$U155</f>
        <v>-0.77117608570140739</v>
      </c>
      <c r="AB155">
        <v>1</v>
      </c>
      <c r="AD155">
        <v>0.67655644648758295</v>
      </c>
      <c r="AE155">
        <v>-0.61830371127820483</v>
      </c>
      <c r="AF155">
        <v>0.72200075502104621</v>
      </c>
      <c r="AG155">
        <v>0.36301899083541006</v>
      </c>
      <c r="AH155">
        <v>-0.9080977968391547</v>
      </c>
      <c r="AI155">
        <v>-0.25925275375748691</v>
      </c>
      <c r="AJ155">
        <v>-0.25921640293426423</v>
      </c>
      <c r="AL155">
        <v>0.25889034838898928</v>
      </c>
      <c r="AM155">
        <v>2.4521427251275738</v>
      </c>
      <c r="AN155">
        <v>-0.40376007279915294</v>
      </c>
      <c r="AO155">
        <v>-0.2832944724650715</v>
      </c>
      <c r="AQ155">
        <v>0.23689688087301511</v>
      </c>
      <c r="AR155">
        <v>0.50798674482404571</v>
      </c>
      <c r="AS155">
        <v>0.49923580239534582</v>
      </c>
      <c r="AT155">
        <v>0.37210338756930589</v>
      </c>
      <c r="AV155">
        <v>-235.37752056939141</v>
      </c>
      <c r="AX155">
        <v>-88.573603572898989</v>
      </c>
      <c r="BA155">
        <f>SQRT(($Q155*1000+coord!$B$7*$O155*$R155*1000-coord!$B$2-AX$154)^2+($R155*1000-coord!$B$7*$O155*$Q155*1000-coord!$C$2-AX$155)^2+($S155*1000-coord!$D$2-AX$156)^2)</f>
        <v>21421770.811638273</v>
      </c>
      <c r="BB155" s="3">
        <f t="shared" ref="BB155:BB160" si="31">$D155-(BA155-$T155)-AX$157</f>
        <v>-2.8911536351199203</v>
      </c>
      <c r="BD155" s="1"/>
      <c r="BE155" s="1"/>
      <c r="BF155" s="1"/>
      <c r="BS155">
        <f>-SIN(RADIANS(BH154))*SIN(RADIANS(BI154))</f>
        <v>-0.14679085632939845</v>
      </c>
      <c r="BT155">
        <f>COS(RADIANS(BI154))</f>
        <v>0.9785270274370691</v>
      </c>
      <c r="BU155">
        <f>COS(RADIANS(BH154))*SIN(RADIANS(BI154))</f>
        <v>0.14469727389711012</v>
      </c>
      <c r="BW155" t="s">
        <v>94</v>
      </c>
      <c r="BX155">
        <v>-0.20611854980853472</v>
      </c>
      <c r="BY155">
        <v>0.9785270274370691</v>
      </c>
      <c r="BZ155">
        <v>2.8364648944164117E-17</v>
      </c>
      <c r="CA155">
        <v>0</v>
      </c>
      <c r="CB155" s="1">
        <v>-87.738527761474316</v>
      </c>
      <c r="CD155" s="1"/>
      <c r="CE155" s="1"/>
      <c r="CF155" s="1"/>
      <c r="CH155">
        <v>-0.30889831564054077</v>
      </c>
      <c r="CI155">
        <v>0.44824991785039525</v>
      </c>
      <c r="CJ155">
        <v>0.1399774115259392</v>
      </c>
      <c r="CK155">
        <v>-5.5921792699448018E-2</v>
      </c>
      <c r="CM155">
        <v>-0.14679085632939842</v>
      </c>
      <c r="CN155">
        <v>0.9785270274370691</v>
      </c>
      <c r="CO155">
        <v>0.14469727389711012</v>
      </c>
      <c r="CP155">
        <v>0</v>
      </c>
      <c r="CR155" s="5">
        <v>0.24772999471349255</v>
      </c>
      <c r="CS155" s="5">
        <v>0.50229433252118494</v>
      </c>
      <c r="CT155" s="5">
        <v>-4.764543243902393E-2</v>
      </c>
      <c r="CU155" s="5">
        <v>-5.5921792699448018E-2</v>
      </c>
    </row>
    <row r="156" spans="1:108">
      <c r="A156">
        <v>42</v>
      </c>
      <c r="B156">
        <f t="shared" si="30"/>
        <v>0.6</v>
      </c>
      <c r="C156">
        <v>10</v>
      </c>
      <c r="D156">
        <v>22618901.859999999</v>
      </c>
      <c r="E156">
        <v>118863135.97348</v>
      </c>
      <c r="F156">
        <v>2934.223</v>
      </c>
      <c r="G156">
        <v>22618901.614999998</v>
      </c>
      <c r="H156">
        <v>92620629.440459996</v>
      </c>
      <c r="J156" s="5">
        <f>'sv10'!$AA$3+'sv10'!$Z$3*($B156)+'sv10'!$Y$3*($B156)^2+'sv10'!$X$3*($B156)^3+'sv10'!$W$3*($B156)^4+'sv10'!$V$3*($B156)^5+'sv10'!$U$3*($B156)^6+'sv10'!$T$3*($B156)^7+'sv10'!$S$3*($B156)^8</f>
        <v>8504.9172284307424</v>
      </c>
      <c r="K156" s="5">
        <f>'sv10'!$AA$4+'sv10'!$Z$4*($B156)+'sv10'!$Y$4*($B156)^2+'sv10'!$X$4*($B156)^3+'sv10'!$W$4*($B156)^4+'sv10'!$V$4*($B156)^5+'sv10'!$U$4*($B156)^6+'sv10'!$T$4*($B156)^7+'sv10'!$S$4*($B156)^8</f>
        <v>-15396.823040951675</v>
      </c>
      <c r="L156" s="5">
        <f>'sv10'!$AA$5+'sv10'!$Z$5*($B156)+'sv10'!$Y$5*($B156)^2+'sv10'!$X$5*($B156)^3+'sv10'!$W$5*($B156)^4+'sv10'!$V$5*($B156)^5+'sv10'!$U$5*($B156)^6+'sv10'!$T$5*($B156)^7+'sv10'!$S$5*($B156)^8</f>
        <v>19609.384100866006</v>
      </c>
      <c r="M156" s="5">
        <f>'sv10'!$AA$6+'sv10'!$Z$6*$B156+'sv10'!$Y$6*$B156^2+'sv10'!$X$6*$B156^3+'sv10'!$W$6*$B156^4+'sv10'!$V$6*$B156^5+'sv10'!$U$6*$B156^6+'sv10'!$T$6*$B156^7+'sv10'!$S$6*$B156^8</f>
        <v>-43.001856823950234</v>
      </c>
      <c r="O156">
        <f>SQRT(($J156*1000-coord!$B$2)^2+($K156*1000-coord!$C$2)^2+($L156*1000-coord!$D$2)^2)/coord!$B$6</f>
        <v>7.5405525726311332E-2</v>
      </c>
      <c r="Q156" s="5">
        <f>'sv10'!$AA$3+'sv10'!$Z$3*($B156-$O156/3600)+'sv10'!$Y$3*($B156-$O156/3600)^2+'sv10'!$X$3*($B156-$O156/3600)^3+'sv10'!$W$3*($B156-$O156/3600)^4+'sv10'!$V$3*($B156-$O156/3600)^5+'sv10'!$U$3*($B156-$O156/3600)^6+'sv10'!$T$3*($B156-$O156/3600)^7+'sv10'!$S$3*($B156-$O156/3600)^8+K156*coord!$B$7*O156</f>
        <v>8504.7463155850182</v>
      </c>
      <c r="R156" s="5">
        <f>'sv10'!$AA$4+'sv10'!$Z$4*($B156-$O156/3600)+'sv10'!$Y$4*($B156-$O156/3600)^2+'sv10'!$X$4*($B156-$O156/3600)^3+'sv10'!$W$4*($B156-$O156/3600)^4+'sv10'!$V$4*($B156-$O156/3600)^5+'sv10'!$U$4*($B156-$O156/3600)^6+'sv10'!$T$4*($B156-$O156/3600)^7+'sv10'!$S$4*($B156-$O156/3600)^8-J156*coord!$B$7*O156</f>
        <v>-15397.041475083162</v>
      </c>
      <c r="S156" s="5">
        <f>'sv10'!$AA$5+'sv10'!$Z$5*($B156-$O156/3600)+'sv10'!$Y$5*($B156-$O156/3600)^2+'sv10'!$X$5*($B156-$O156/3600)^3+'sv10'!$W$5*($B156-$O156/3600)^4+'sv10'!$V$5*($B156-$O156/3600)^5+'sv10'!$U$5*($B156-$O156/3600)^6+'sv10'!$T$5*($B156-$O156/3600)^7+'sv10'!$S$5*($B156-$O156/3600)^8</f>
        <v>19609.285056956011</v>
      </c>
      <c r="T156">
        <f>coord!$B$6*M156/10^6</f>
        <v>-12891.632355816115</v>
      </c>
      <c r="U156">
        <f>SQRT(($Q156*1000+coord!$B$7*$O156*$R156*1000-coord!$B$2)^2+($R156*1000-coord!$B$7*$O156*$Q156*1000-coord!$C$2)^2+($S156*1000-coord!$D$2)^2)</f>
        <v>22606086.731595438</v>
      </c>
      <c r="V156" s="3">
        <f>$D156-(U156-$T156)-coord!$E$2</f>
        <v>-76.503951255232096</v>
      </c>
      <c r="W156" s="3"/>
      <c r="Y156">
        <f>-(Q156*1000-coord!$B$2)/$U156</f>
        <v>-0.18206902387189677</v>
      </c>
      <c r="Z156">
        <f>-(R156*1000-coord!$C$2)/$U156</f>
        <v>0.72200075502104621</v>
      </c>
      <c r="AA156">
        <f>-(S156*1000-coord!$D$2)/$U156</f>
        <v>-0.6675059227108896</v>
      </c>
      <c r="AB156">
        <v>1</v>
      </c>
      <c r="AD156">
        <v>-0.70838595374140234</v>
      </c>
      <c r="AE156">
        <v>-0.77117608570140739</v>
      </c>
      <c r="AF156">
        <v>-0.6675059227108896</v>
      </c>
      <c r="AG156">
        <v>-0.36171854703221507</v>
      </c>
      <c r="AH156">
        <v>3.0004141587276777E-2</v>
      </c>
      <c r="AI156">
        <v>-0.85726396594514287</v>
      </c>
      <c r="AJ156">
        <v>-6.5316499525083657E-2</v>
      </c>
      <c r="AL156">
        <v>1.1233139174832358</v>
      </c>
      <c r="AM156">
        <v>-0.40376007279915294</v>
      </c>
      <c r="AN156">
        <v>2.4129956796676679</v>
      </c>
      <c r="AO156">
        <v>-3.4013628330688643</v>
      </c>
      <c r="AQ156">
        <v>1.6909604424536211</v>
      </c>
      <c r="AR156">
        <v>0.49923580239534593</v>
      </c>
      <c r="AS156">
        <v>2.6521423498089978</v>
      </c>
      <c r="AT156">
        <v>2.086668284239392</v>
      </c>
      <c r="AV156">
        <v>103.68831050875785</v>
      </c>
      <c r="AX156">
        <v>40.837055636423273</v>
      </c>
      <c r="BA156">
        <f>SQRT(($Q156*1000+coord!$B$7*$O156*$R156*1000-coord!$B$2-AX$154)^2+($R156*1000-coord!$B$7*$O156*$Q156*1000-coord!$C$2-AX$155)^2+($S156*1000-coord!$D$2-AX$156)^2)</f>
        <v>22605994.579886407</v>
      </c>
      <c r="BB156" s="3">
        <f t="shared" si="31"/>
        <v>4.9379187658076233</v>
      </c>
      <c r="BD156" s="1"/>
      <c r="BE156" s="1"/>
      <c r="BF156" s="1"/>
      <c r="BS156">
        <f>COS(RADIANS(BH154))</f>
        <v>0.70200995510360753</v>
      </c>
      <c r="BT156">
        <v>0</v>
      </c>
      <c r="BU156">
        <f>SIN(RADIANS(BH154))</f>
        <v>0.71216713132201703</v>
      </c>
      <c r="BW156" t="s">
        <v>95</v>
      </c>
      <c r="BX156">
        <v>0.68693571459876335</v>
      </c>
      <c r="BY156">
        <v>0.14469727389711012</v>
      </c>
      <c r="BZ156">
        <v>0.71216713132201692</v>
      </c>
      <c r="CA156">
        <v>0</v>
      </c>
      <c r="CB156" s="1">
        <v>19.822006164575399</v>
      </c>
      <c r="CD156" s="1"/>
      <c r="CE156" s="1"/>
      <c r="CF156" s="1"/>
      <c r="CH156">
        <v>3.040554990551823</v>
      </c>
      <c r="CI156">
        <v>0.59177655454576805</v>
      </c>
      <c r="CJ156">
        <v>3.1225877886546693</v>
      </c>
      <c r="CK156">
        <v>2.9397586190705618</v>
      </c>
      <c r="CM156">
        <v>0.70200995510360742</v>
      </c>
      <c r="CN156">
        <v>2.8364648944164117E-17</v>
      </c>
      <c r="CO156">
        <v>0.71216713132201692</v>
      </c>
      <c r="CP156">
        <v>0</v>
      </c>
      <c r="CR156" s="5">
        <v>-1.366578239375027E-2</v>
      </c>
      <c r="CS156" s="5">
        <v>-4.7645432439023659E-2</v>
      </c>
      <c r="CT156" s="5">
        <v>4.3980986571579059</v>
      </c>
      <c r="CU156" s="5">
        <v>2.9397586190705618</v>
      </c>
    </row>
    <row r="157" spans="1:108">
      <c r="A157">
        <v>42</v>
      </c>
      <c r="B157">
        <f t="shared" si="30"/>
        <v>0.6</v>
      </c>
      <c r="C157">
        <v>4</v>
      </c>
      <c r="D157">
        <v>21269334.912</v>
      </c>
      <c r="E157">
        <v>111771106.88948999</v>
      </c>
      <c r="F157">
        <v>-1300.925</v>
      </c>
      <c r="G157">
        <v>21269334.556000002</v>
      </c>
      <c r="H157">
        <v>87094365.374469995</v>
      </c>
      <c r="J157" s="5">
        <f>'sv04'!$AA$3+'sv04'!$Z$3*($B157)+'sv04'!$Y$3*($B157)^2+'sv04'!$X$3*($B157)^3+'sv04'!$W$3*($B157)^4+'sv04'!$V$3*($B157)^5+'sv04'!$U$3*($B157)^6+'sv04'!$T$3*($B157)^7+'sv04'!$S$3*($B157)^8</f>
        <v>22675.45177325443</v>
      </c>
      <c r="K157" s="5">
        <f>'sv04'!$AA$4+'sv04'!$Z$4*($B157)+'sv04'!$Y$4*($B157)^2+'sv04'!$X$4*($B157)^3+'sv04'!$W$4*($B157)^4+'sv04'!$V$4*($B157)^5+'sv04'!$U$4*($B157)^6+'sv04'!$T$4*($B157)^7+'sv04'!$S$4*($B157)^8</f>
        <v>-6805.8939885846121</v>
      </c>
      <c r="L157" s="5">
        <f>'sv04'!$AA$5+'sv04'!$Z$5*($B157)+'sv04'!$Y$5*($B157)^2+'sv04'!$X$5*($B157)^3+'sv04'!$W$5*($B157)^4+'sv04'!$V$5*($B157)^5+'sv04'!$U$5*($B157)^6+'sv04'!$T$5*($B157)^7+'sv04'!$S$5*($B157)^8</f>
        <v>12222.324963240577</v>
      </c>
      <c r="M157" s="5">
        <f>'sv04'!$AA$6+'sv04'!$Z$6*$B157+'sv04'!$Y$6*$B157^2+'sv04'!$X$6*$B157^3+'sv04'!$W$6*$B157^4+'sv04'!$V$6*$B157^5+'sv04'!$U$6*$B157^6+'sv04'!$T$6*$B157^7+'sv04'!$S$6*$B157^8</f>
        <v>86.605209637135445</v>
      </c>
      <c r="O157">
        <f>SQRT(($J157*1000-coord!$B$2)^2+($K157*1000-coord!$C$2)^2+($L157*1000-coord!$D$2)^2)/coord!$B$6</f>
        <v>7.1033568849111869E-2</v>
      </c>
      <c r="Q157" s="5">
        <f>'sv04'!$AA$3+'sv04'!$Z$3*($B157-$O157/3600)+'sv04'!$Y$3*($B157-$O157/3600)^2+'sv04'!$X$3*($B157-$O157/3600)^3+'sv04'!$W$3*($B157-$O157/3600)^4+'sv04'!$V$3*($B157-$O157/3600)^5+'sv04'!$U$3*($B157-$O157/3600)^6+'sv04'!$T$3*($B157-$O157/3600)^7+'sv04'!$S$3*($B157-$O157/3600)^8+K157*coord!$B$7*O157</f>
        <v>22675.307309359672</v>
      </c>
      <c r="R157" s="5">
        <f>'sv04'!$AA$4+'sv04'!$Z$4*($B157-$O157/3600)+'sv04'!$Y$4*($B157-$O157/3600)^2+'sv04'!$X$4*($B157-$O157/3600)^3+'sv04'!$W$4*($B157-$O157/3600)^4+'sv04'!$V$4*($B157-$O157/3600)^5+'sv04'!$U$4*($B157-$O157/3600)^6+'sv04'!$T$4*($B157-$O157/3600)^7+'sv04'!$S$4*($B157-$O157/3600)^8-J157*coord!$B$7*O157</f>
        <v>-6806.0409396033356</v>
      </c>
      <c r="S157" s="5">
        <f>'sv04'!$AA$5+'sv04'!$Z$5*($B157-$O157/3600)+'sv04'!$Y$5*($B157-$O157/3600)^2+'sv04'!$X$5*($B157-$O157/3600)^3+'sv04'!$W$5*($B157-$O157/3600)^4+'sv04'!$V$5*($B157-$O157/3600)^5+'sv04'!$U$5*($B157-$O157/3600)^6+'sv04'!$T$5*($B157-$O157/3600)^7+'sv04'!$S$5*($B157-$O157/3600)^8</f>
        <v>12222.506040194186</v>
      </c>
      <c r="T157">
        <f>coord!$B$6*M157/10^6</f>
        <v>25963.588672722122</v>
      </c>
      <c r="U157">
        <f>SQRT(($Q157*1000+coord!$B$7*$O157*$R157*1000-coord!$B$2)^2+($R157*1000-coord!$B$7*$O157*$Q157*1000-coord!$C$2)^2+($S157*1000-coord!$D$2)^2)</f>
        <v>21295335.362519182</v>
      </c>
      <c r="V157" s="3">
        <f>$D157-(U157-$T157)-coord!$E$2</f>
        <v>-36.861846458166838</v>
      </c>
      <c r="W157" s="3"/>
      <c r="Y157">
        <f>-(Q157*1000-coord!$B$2)/$U157</f>
        <v>-0.85870585399395361</v>
      </c>
      <c r="Z157">
        <f>-(R157*1000-coord!$C$2)/$U157</f>
        <v>0.36301899083541006</v>
      </c>
      <c r="AA157">
        <f>-(S157*1000-coord!$D$2)/$U157</f>
        <v>-0.36171854703221507</v>
      </c>
      <c r="AB157">
        <v>1</v>
      </c>
      <c r="AD157">
        <v>1</v>
      </c>
      <c r="AE157">
        <v>1</v>
      </c>
      <c r="AF157">
        <v>1</v>
      </c>
      <c r="AG157">
        <v>1</v>
      </c>
      <c r="AH157">
        <v>1</v>
      </c>
      <c r="AI157">
        <v>1</v>
      </c>
      <c r="AJ157">
        <v>1</v>
      </c>
      <c r="AL157">
        <v>-3.2196784106033585</v>
      </c>
      <c r="AM157">
        <v>-0.2832944724650715</v>
      </c>
      <c r="AN157">
        <v>-3.4013628330688643</v>
      </c>
      <c r="AO157">
        <v>7</v>
      </c>
      <c r="AQ157">
        <v>2.037832183600548</v>
      </c>
      <c r="AR157">
        <v>0.37210338756930594</v>
      </c>
      <c r="AS157">
        <v>2.0866682842393915</v>
      </c>
      <c r="AT157">
        <v>2.1091564379729628</v>
      </c>
      <c r="AV157">
        <v>-55.505306087434292</v>
      </c>
      <c r="AX157">
        <v>10.709839010273939</v>
      </c>
      <c r="BA157">
        <f>SQRT(($Q157*1000+coord!$B$7*$O157*$R157*1000-coord!$B$2-AX$154)^2+($R157*1000-coord!$B$7*$O157*$Q157*1000-coord!$C$2-AX$155)^2+($S157*1000-coord!$D$2-AX$156)^2)</f>
        <v>21295283.992147736</v>
      </c>
      <c r="BB157" s="3">
        <f t="shared" si="31"/>
        <v>3.7986859775726742</v>
      </c>
      <c r="BD157" s="1"/>
      <c r="BE157" s="1"/>
      <c r="BF157" s="1"/>
      <c r="BX157">
        <v>0</v>
      </c>
      <c r="BY157">
        <v>0</v>
      </c>
      <c r="BZ157">
        <v>0</v>
      </c>
      <c r="CA157">
        <v>1</v>
      </c>
      <c r="CD157" s="1"/>
      <c r="CE157" s="1"/>
      <c r="CF157" s="1"/>
      <c r="CH157">
        <v>2.037832183600548</v>
      </c>
      <c r="CI157">
        <v>0.37210338756930594</v>
      </c>
      <c r="CJ157">
        <v>2.0866682842393915</v>
      </c>
      <c r="CK157">
        <v>2.1091564379729628</v>
      </c>
      <c r="CM157">
        <v>0</v>
      </c>
      <c r="CN157">
        <v>0</v>
      </c>
      <c r="CO157">
        <v>0</v>
      </c>
      <c r="CP157">
        <v>1</v>
      </c>
      <c r="CR157" s="5">
        <v>-9.8733333236589171E-3</v>
      </c>
      <c r="CS157" s="5">
        <v>-5.5921792699447963E-2</v>
      </c>
      <c r="CT157" s="5">
        <v>2.9397586190705614</v>
      </c>
      <c r="CU157" s="5">
        <v>2.1091564379729628</v>
      </c>
    </row>
    <row r="158" spans="1:108">
      <c r="A158">
        <v>42</v>
      </c>
      <c r="B158">
        <f t="shared" si="30"/>
        <v>0.6</v>
      </c>
      <c r="C158">
        <v>20</v>
      </c>
      <c r="D158">
        <v>23363525.101</v>
      </c>
      <c r="E158">
        <v>122776145.07848001</v>
      </c>
      <c r="F158">
        <v>-3175.2269999999999</v>
      </c>
      <c r="G158">
        <v>23363524.631000001</v>
      </c>
      <c r="H158">
        <v>95669716.684450001</v>
      </c>
      <c r="J158" s="5">
        <f>'sv20'!$AA$3+'sv20'!$Z$3*($B158)+'sv20'!$Y$3*($B158)^2+'sv20'!$X$3*($B158)^3+'sv20'!$W$3*($B158)^4+'sv20'!$V$3*($B158)^5+'sv20'!$U$3*($B158)^6+'sv20'!$T$3*($B158)^7+'sv20'!$S$3*($B158)^8</f>
        <v>14154.265684244461</v>
      </c>
      <c r="K158" s="5">
        <f>'sv20'!$AA$4+'sv20'!$Z$4*($B158)+'sv20'!$Y$4*($B158)^2+'sv20'!$X$4*($B158)^3+'sv20'!$W$4*($B158)^4+'sv20'!$V$4*($B158)^5+'sv20'!$U$4*($B158)^6+'sv20'!$T$4*($B158)^7+'sv20'!$S$4*($B158)^8</f>
        <v>22156.174796924355</v>
      </c>
      <c r="L158" s="5">
        <f>'sv20'!$AA$5+'sv20'!$Z$5*($B158)+'sv20'!$Y$5*($B158)^2+'sv20'!$X$5*($B158)^3+'sv20'!$W$5*($B158)^4+'sv20'!$V$5*($B158)^5+'sv20'!$U$5*($B158)^6+'sv20'!$T$5*($B158)^7+'sv20'!$S$5*($B158)^8</f>
        <v>3817.8470637941487</v>
      </c>
      <c r="M158" s="5">
        <f>'sv20'!$AA$6+'sv20'!$Z$6*$B158+'sv20'!$Y$6*$B158^2+'sv20'!$X$6*$B158^3+'sv20'!$W$6*$B158^4+'sv20'!$V$6*$B158^5+'sv20'!$U$6*$B158^6+'sv20'!$T$6*$B158^7+'sv20'!$S$6*$B158^8</f>
        <v>55.817621304684792</v>
      </c>
      <c r="O158">
        <f>SQRT(($J158*1000-coord!$B$2)^2+($K158*1000-coord!$C$2)^2+($L158*1000-coord!$D$2)^2)/coord!$B$6</f>
        <v>7.798813200458575E-2</v>
      </c>
      <c r="Q158" s="5">
        <f>'sv20'!$AA$3+'sv20'!$Z$3*($B158-$O158/3600)+'sv20'!$Y$3*($B158-$O158/3600)^2+'sv20'!$X$3*($B158-$O158/3600)^3+'sv20'!$W$3*($B158-$O158/3600)^4+'sv20'!$V$3*($B158-$O158/3600)^5+'sv20'!$U$3*($B158-$O158/3600)^6+'sv20'!$T$3*($B158-$O158/3600)^7+'sv20'!$S$3*($B158-$O158/3600)^8+K158*coord!$B$7*O158</f>
        <v>14154.398461588966</v>
      </c>
      <c r="R158" s="5">
        <f>'sv20'!$AA$4+'sv20'!$Z$4*($B158-$O158/3600)+'sv20'!$Y$4*($B158-$O158/3600)^2+'sv20'!$X$4*($B158-$O158/3600)^3+'sv20'!$W$4*($B158-$O158/3600)^4+'sv20'!$V$4*($B158-$O158/3600)^5+'sv20'!$U$4*($B158-$O158/3600)^6+'sv20'!$T$4*($B158-$O158/3600)^7+'sv20'!$S$4*($B158-$O158/3600)^8-J158*coord!$B$7*O158</f>
        <v>22156.047176885862</v>
      </c>
      <c r="S158" s="5">
        <f>'sv20'!$AA$5+'sv20'!$Z$5*($B158-$O158/3600)+'sv20'!$Y$5*($B158-$O158/3600)^2+'sv20'!$X$5*($B158-$O158/3600)^3+'sv20'!$W$5*($B158-$O158/3600)^4+'sv20'!$V$5*($B158-$O158/3600)^5+'sv20'!$U$5*($B158-$O158/3600)^6+'sv20'!$T$5*($B158-$O158/3600)^7+'sv20'!$S$5*($B158-$O158/3600)^8</f>
        <v>3818.0864722443462</v>
      </c>
      <c r="T158">
        <f>coord!$B$6*M158/10^6</f>
        <v>16733.701890644621</v>
      </c>
      <c r="U158">
        <f>SQRT(($Q158*1000+coord!$B$7*$O158*$R158*1000-coord!$B$2)^2+($R158*1000-coord!$B$7*$O158*$Q158*1000-coord!$C$2)^2+($S158*1000-coord!$D$2)^2)</f>
        <v>23380165.701961782</v>
      </c>
      <c r="V158" s="3">
        <f>$D158-(U158-$T158)-coord!$E$2</f>
        <v>93.100928861647844</v>
      </c>
      <c r="W158" s="3"/>
      <c r="Y158">
        <f>-(Q158*1000-coord!$B$2)/$U158</f>
        <v>-0.41768396406059521</v>
      </c>
      <c r="Z158">
        <f>-(R158*1000-coord!$C$2)/$U158</f>
        <v>-0.9080977968391547</v>
      </c>
      <c r="AA158">
        <f>-(S158*1000-coord!$D$2)/$U158</f>
        <v>3.0004141587276777E-2</v>
      </c>
      <c r="AB158">
        <v>1</v>
      </c>
      <c r="BA158">
        <f>SQRT(($Q158*1000+coord!$B$7*$O158*$R158*1000-coord!$B$2-AX$154)^2+($R158*1000-coord!$B$7*$O158*$Q158*1000-coord!$C$2-AX$155)^2+($S158*1000-coord!$D$2-AX$156)^2)</f>
        <v>23380245.198554579</v>
      </c>
      <c r="BB158" s="3">
        <f t="shared" si="31"/>
        <v>2.8944970540349431</v>
      </c>
      <c r="BD158" s="1"/>
      <c r="BE158" s="1"/>
      <c r="BF158" s="1"/>
      <c r="CD158" s="1"/>
      <c r="CE158" s="1"/>
      <c r="CF158" s="1"/>
    </row>
    <row r="159" spans="1:108">
      <c r="A159">
        <v>42</v>
      </c>
      <c r="B159">
        <f t="shared" si="30"/>
        <v>0.6</v>
      </c>
      <c r="C159">
        <v>13</v>
      </c>
      <c r="D159">
        <v>20217863.524999999</v>
      </c>
      <c r="E159">
        <v>106245588.57949001</v>
      </c>
      <c r="F159">
        <v>-911.69799999999998</v>
      </c>
      <c r="G159">
        <v>20217861.774999999</v>
      </c>
      <c r="H159">
        <v>82788762.140479997</v>
      </c>
      <c r="J159" s="5">
        <f>'sv13'!$AA$3+'sv13'!$Z$3*($B159)+'sv13'!$Y$3*($B159)^2+'sv13'!$X$3*($B159)^3+'sv13'!$W$3*($B159)^4+'sv13'!$V$3*($B159)^5+'sv13'!$U$3*($B159)^6+'sv13'!$T$3*($B159)^7+'sv13'!$S$3*($B159)^8</f>
        <v>13423.110070731747</v>
      </c>
      <c r="K159" s="5">
        <f>'sv13'!$AA$4+'sv13'!$Z$4*($B159)+'sv13'!$Y$4*($B159)^2+'sv13'!$X$4*($B159)^3+'sv13'!$W$4*($B159)^4+'sv13'!$V$4*($B159)^5+'sv13'!$U$4*($B159)^6+'sv13'!$T$4*($B159)^7+'sv13'!$S$4*($B159)^8</f>
        <v>6189.9662852537067</v>
      </c>
      <c r="L159" s="5">
        <f>'sv13'!$AA$5+'sv13'!$Z$5*($B159)+'sv13'!$Y$5*($B159)^2+'sv13'!$X$5*($B159)^3+'sv13'!$W$5*($B159)^4+'sv13'!$V$5*($B159)^5+'sv13'!$U$5*($B159)^6+'sv13'!$T$5*($B159)^7+'sv13'!$S$5*($B159)^8</f>
        <v>21929.849894512216</v>
      </c>
      <c r="M159" s="5">
        <f>'sv13'!$AA$6+'sv13'!$Z$6*$B159+'sv13'!$Y$6*$B159^2+'sv13'!$X$6*$B159^3+'sv13'!$W$6*$B159^4+'sv13'!$V$6*$B159^5+'sv13'!$U$6*$B159^6+'sv13'!$T$6*$B159^7+'sv13'!$S$6*$B159^8</f>
        <v>304.21922724866272</v>
      </c>
      <c r="O159">
        <f>SQRT(($J159*1000-coord!$B$2)^2+($K159*1000-coord!$C$2)^2+($L159*1000-coord!$D$2)^2)/coord!$B$6</f>
        <v>6.7743817098540202E-2</v>
      </c>
      <c r="Q159" s="5">
        <f>'sv13'!$AA$3+'sv13'!$Z$3*($B159-$O159/3600)+'sv13'!$Y$3*($B159-$O159/3600)^2+'sv13'!$X$3*($B159-$O159/3600)^3+'sv13'!$W$3*($B159-$O159/3600)^4+'sv13'!$V$3*($B159-$O159/3600)^5+'sv13'!$U$3*($B159-$O159/3600)^6+'sv13'!$T$3*($B159-$O159/3600)^7+'sv13'!$S$3*($B159-$O159/3600)^8+K159*coord!$B$7*O159</f>
        <v>13423.259884192939</v>
      </c>
      <c r="R159" s="5">
        <f>'sv13'!$AA$4+'sv13'!$Z$4*($B159-$O159/3600)+'sv13'!$Y$4*($B159-$O159/3600)^2+'sv13'!$X$4*($B159-$O159/3600)^3+'sv13'!$W$4*($B159-$O159/3600)^4+'sv13'!$V$4*($B159-$O159/3600)^5+'sv13'!$U$4*($B159-$O159/3600)^6+'sv13'!$T$4*($B159-$O159/3600)^7+'sv13'!$S$4*($B159-$O159/3600)^8-J159*coord!$B$7*O159</f>
        <v>6189.7516341178452</v>
      </c>
      <c r="S159" s="5">
        <f>'sv13'!$AA$5+'sv13'!$Z$5*($B159-$O159/3600)+'sv13'!$Y$5*($B159-$O159/3600)^2+'sv13'!$X$5*($B159-$O159/3600)^3+'sv13'!$W$5*($B159-$O159/3600)^4+'sv13'!$V$5*($B159-$O159/3600)^5+'sv13'!$U$5*($B159-$O159/3600)^6+'sv13'!$T$5*($B159-$O159/3600)^7+'sv13'!$S$5*($B159-$O159/3600)^8</f>
        <v>21929.819181775423</v>
      </c>
      <c r="T159">
        <f>coord!$B$6*M159/10^6</f>
        <v>91202.629907737166</v>
      </c>
      <c r="U159">
        <f>SQRT(($Q159*1000+coord!$B$7*$O159*$R159*1000-coord!$B$2)^2+($R159*1000-coord!$B$7*$O159*$Q159*1000-coord!$C$2)^2+($S159*1000-coord!$D$2)^2)</f>
        <v>20309066.51754627</v>
      </c>
      <c r="V159" s="3">
        <f>$D159-(U159-$T159)-coord!$E$2</f>
        <v>-0.36263853311538696</v>
      </c>
      <c r="W159" s="3"/>
      <c r="Y159">
        <f>-(Q159*1000-coord!$B$2)/$U159</f>
        <v>-0.44484475471029516</v>
      </c>
      <c r="Z159">
        <f>-(R159*1000-coord!$C$2)/$U159</f>
        <v>-0.25925275375748691</v>
      </c>
      <c r="AA159">
        <f>-(S159*1000-coord!$D$2)/$U159</f>
        <v>-0.85726396594514287</v>
      </c>
      <c r="AB159">
        <v>1</v>
      </c>
      <c r="BA159">
        <f>SQRT(($Q159*1000+coord!$B$7*$O159*$R159*1000-coord!$B$2-AX$154)^2+($R159*1000-coord!$B$7*$O159*$Q159*1000-coord!$C$2-AX$155)^2+($S159*1000-coord!$D$2-AX$156)^2)</f>
        <v>20309052.16979181</v>
      </c>
      <c r="BB159" s="3">
        <f t="shared" si="31"/>
        <v>3.2752769164388127</v>
      </c>
      <c r="BD159" s="1"/>
      <c r="BE159" s="1"/>
      <c r="BF159" s="1"/>
      <c r="CD159" s="1"/>
      <c r="CE159" s="1"/>
      <c r="CF159" s="1"/>
    </row>
    <row r="160" spans="1:108">
      <c r="A160">
        <v>42</v>
      </c>
      <c r="B160">
        <f t="shared" si="30"/>
        <v>0.6</v>
      </c>
      <c r="C160">
        <v>7</v>
      </c>
      <c r="D160">
        <v>21546403.081</v>
      </c>
      <c r="E160">
        <v>113227119.31749</v>
      </c>
      <c r="F160">
        <v>2629.8040000000001</v>
      </c>
      <c r="G160">
        <v>21546402.195999999</v>
      </c>
      <c r="H160">
        <v>88228925.011470005</v>
      </c>
      <c r="J160" s="5">
        <f>'sv07'!$AA$3+'sv07'!$Z$3*($B160)+'sv07'!$Y$3*($B160)^2+'sv07'!$X$3*($B160)^3+'sv07'!$W$3*($B160)^4+'sv07'!$V$3*($B160)^5+'sv07'!$U$3*($B160)^6+'sv07'!$T$3*($B160)^7+'sv07'!$S$3*($B160)^8</f>
        <v>25150.874830730179</v>
      </c>
      <c r="K160" s="5">
        <f>'sv07'!$AA$4+'sv07'!$Z$4*($B160)+'sv07'!$Y$4*($B160)^2+'sv07'!$X$4*($B160)^3+'sv07'!$W$4*($B160)^4+'sv07'!$V$4*($B160)^5+'sv07'!$U$4*($B160)^6+'sv07'!$T$4*($B160)^7+'sv07'!$S$4*($B160)^8</f>
        <v>6509.8390181054529</v>
      </c>
      <c r="L160" s="5">
        <f>'sv07'!$AA$5+'sv07'!$Z$5*($B160)+'sv07'!$Y$5*($B160)^2+'sv07'!$X$5*($B160)^3+'sv07'!$W$5*($B160)^4+'sv07'!$V$5*($B160)^5+'sv07'!$U$5*($B160)^6+'sv07'!$T$5*($B160)^7+'sv07'!$S$5*($B160)^8</f>
        <v>5927.1306940350241</v>
      </c>
      <c r="M160" s="5">
        <f>'sv07'!$AA$6+'sv07'!$Z$6*$B160+'sv07'!$Y$6*$B160^2+'sv07'!$X$6*$B160^3+'sv07'!$W$6*$B160^4+'sv07'!$V$6*$B160^5+'sv07'!$U$6*$B160^6+'sv07'!$T$6*$B160^7+'sv07'!$S$6*$B160^8</f>
        <v>-0.63803180233040102</v>
      </c>
      <c r="O160">
        <f>SQRT(($J160*1000-coord!$B$2)^2+($K160*1000-coord!$C$2)^2+($L160*1000-coord!$D$2)^2)/coord!$B$6</f>
        <v>7.1870245746661773E-2</v>
      </c>
      <c r="Q160" s="5">
        <f>'sv07'!$AA$3+'sv07'!$Z$3*($B160-$O160/3600)+'sv07'!$Y$3*($B160-$O160/3600)^2+'sv07'!$X$3*($B160-$O160/3600)^3+'sv07'!$W$3*($B160-$O160/3600)^4+'sv07'!$V$3*($B160-$O160/3600)^5+'sv07'!$U$3*($B160-$O160/3600)^6+'sv07'!$T$3*($B160-$O160/3600)^7+'sv07'!$S$3*($B160-$O160/3600)^8+K160*coord!$B$7*O160</f>
        <v>25150.964140089825</v>
      </c>
      <c r="R160" s="5">
        <f>'sv07'!$AA$4+'sv07'!$Z$4*($B160-$O160/3600)+'sv07'!$Y$4*($B160-$O160/3600)^2+'sv07'!$X$4*($B160-$O160/3600)^3+'sv07'!$W$4*($B160-$O160/3600)^4+'sv07'!$V$4*($B160-$O160/3600)^5+'sv07'!$U$4*($B160-$O160/3600)^6+'sv07'!$T$4*($B160-$O160/3600)^7+'sv07'!$S$4*($B160-$O160/3600)^8-J160*coord!$B$7*O160</f>
        <v>6509.6963406507921</v>
      </c>
      <c r="S160" s="5">
        <f>'sv07'!$AA$5+'sv07'!$Z$5*($B160-$O160/3600)+'sv07'!$Y$5*($B160-$O160/3600)^2+'sv07'!$X$5*($B160-$O160/3600)^3+'sv07'!$W$5*($B160-$O160/3600)^4+'sv07'!$V$5*($B160-$O160/3600)^5+'sv07'!$U$5*($B160-$O160/3600)^6+'sv07'!$T$5*($B160-$O160/3600)^7+'sv07'!$S$5*($B160-$O160/3600)^8</f>
        <v>5926.9100483919092</v>
      </c>
      <c r="T160">
        <f>coord!$B$6*M160/10^6</f>
        <v>-191.27712230280105</v>
      </c>
      <c r="U160">
        <f>SQRT(($Q160*1000+coord!$B$7*$O160*$R160*1000-coord!$B$2)^2+($R160*1000-coord!$B$7*$O160*$Q160*1000-coord!$C$2)^2+($S160*1000-coord!$D$2)^2)</f>
        <v>21546190.998056352</v>
      </c>
      <c r="V160" s="3">
        <f>$D160-(U160-$T160)-coord!$E$2</f>
        <v>20.805821344256401</v>
      </c>
      <c r="W160" s="3" t="s">
        <v>127</v>
      </c>
      <c r="X160" s="1" t="s">
        <v>128</v>
      </c>
      <c r="Y160">
        <f>-(Q160*1000-coord!$B$2)/$U160</f>
        <v>-0.96360818351432698</v>
      </c>
      <c r="Z160">
        <f>-(R160*1000-coord!$C$2)/$U160</f>
        <v>-0.25921640293426423</v>
      </c>
      <c r="AA160">
        <f>-(S160*1000-coord!$D$2)/$U160</f>
        <v>-6.5316499525083657E-2</v>
      </c>
      <c r="AB160">
        <v>1</v>
      </c>
      <c r="BA160">
        <f>SQRT(($Q160*1000+coord!$B$7*$O160*$R160*1000-coord!$B$2-AX$154)^2+($R160*1000-coord!$B$7*$O160*$Q160*1000-coord!$C$2-AX$155)^2+($S160*1000-coord!$D$2-AX$156)^2)</f>
        <v>21546206.30251576</v>
      </c>
      <c r="BB160" s="3">
        <f t="shared" si="31"/>
        <v>-5.2084770739431434</v>
      </c>
      <c r="BC160" s="3" t="s">
        <v>127</v>
      </c>
      <c r="BD160" s="1" t="s">
        <v>128</v>
      </c>
      <c r="BE160" s="1"/>
      <c r="BF160" s="1"/>
      <c r="CD160" s="1"/>
      <c r="CE160" s="1"/>
      <c r="CF160" s="1"/>
    </row>
    <row r="161" spans="1:108">
      <c r="V161" s="3"/>
      <c r="W161" s="3">
        <f>AVERAGE($V154:$V160)</f>
        <v>-7.9293294410620421</v>
      </c>
      <c r="X161" s="1">
        <f>SQRT(DEVSQ($V154:$V160)/6)</f>
        <v>63.489067434778391</v>
      </c>
      <c r="BB161" s="3"/>
      <c r="BC161" s="3">
        <f>AVERAGE($BB154:$BB160)</f>
        <v>1.7669378310764778E-4</v>
      </c>
      <c r="BD161" s="1">
        <f>SQRT(DEVSQ($BB154:$BB160)/6)</f>
        <v>4.8256362881311858</v>
      </c>
      <c r="BE161" s="1"/>
      <c r="BF161" s="1"/>
      <c r="CD161" s="1"/>
      <c r="CE161" s="1"/>
      <c r="CF161" s="1"/>
    </row>
    <row r="162" spans="1:108">
      <c r="A162">
        <v>44</v>
      </c>
      <c r="B162">
        <f t="shared" ref="B162:B168" si="32">(60-45)/60+30*A162/3600</f>
        <v>0.6166666666666667</v>
      </c>
      <c r="C162">
        <v>2</v>
      </c>
      <c r="D162">
        <v>22360836.535</v>
      </c>
      <c r="E162">
        <v>117506994.41047999</v>
      </c>
      <c r="F162">
        <v>1915.3789999999999</v>
      </c>
      <c r="G162">
        <v>22360833.629000001</v>
      </c>
      <c r="H162">
        <v>91563881.240470007</v>
      </c>
      <c r="J162" s="5">
        <f>'sv02'!$AA$3+'sv02'!$Z$3*($B162)+'sv02'!$Y$3*($B162)^2+'sv02'!$X$3*($B162)^3+'sv02'!$W$3*($B162)^4+'sv02'!$V$3*($B162)^5+'sv02'!$U$3*($B162)^6+'sv02'!$T$3*($B162)^7+'sv02'!$S$3*($B162)^8</f>
        <v>9062.7539013218357</v>
      </c>
      <c r="K162" s="5">
        <f>'sv02'!$AA$4+'sv02'!$Z$4*($B162)+'sv02'!$Y$4*($B162)^2+'sv02'!$X$4*($B162)^3+'sv02'!$W$4*($B162)^4+'sv02'!$V$4*($B162)^5+'sv02'!$U$4*($B162)^6+'sv02'!$T$4*($B162)^7+'sv02'!$S$4*($B162)^8</f>
        <v>-14251.474844226132</v>
      </c>
      <c r="L162" s="5">
        <f>'sv02'!$AA$5+'sv02'!$Z$5*($B162)+'sv02'!$Y$5*($B162)^2+'sv02'!$X$5*($B162)^3+'sv02'!$W$5*($B162)^4+'sv02'!$V$5*($B162)^5+'sv02'!$U$5*($B162)^6+'sv02'!$T$5*($B162)^7+'sv02'!$S$5*($B162)^8</f>
        <v>20372.331328117187</v>
      </c>
      <c r="M162" s="5">
        <f>'sv02'!$AA$6+'sv02'!$Z$6*$B162+'sv02'!$Y$6*$B162^2+'sv02'!$X$6*$B162^3+'sv02'!$W$6*$B162^4+'sv02'!$V$6*$B162^5+'sv02'!$U$6*$B162^6+'sv02'!$T$6*$B162^7+'sv02'!$S$6*$B162^8</f>
        <v>257.5940384417334</v>
      </c>
      <c r="O162">
        <f>SQRT(($J162*1000-coord!$B$2)^2+($K162*1000-coord!$C$2)^2+($L162*1000-coord!$D$2)^2)/coord!$B$6</f>
        <v>7.4845340339138047E-2</v>
      </c>
      <c r="Q162" s="5">
        <f>'sv02'!$AA$3+'sv02'!$Z$3*($B162-$O162/3600)+'sv02'!$Y$3*($B162-$O162/3600)^2+'sv02'!$X$3*($B162-$O162/3600)^3+'sv02'!$W$3*($B162-$O162/3600)^4+'sv02'!$V$3*($B162-$O162/3600)^5+'sv02'!$U$3*($B162-$O162/3600)^6+'sv02'!$T$3*($B162-$O162/3600)^7+'sv02'!$S$3*($B162-$O162/3600)^8+K162*coord!$B$7*O162</f>
        <v>9062.4819305196834</v>
      </c>
      <c r="R162" s="5">
        <f>'sv02'!$AA$4+'sv02'!$Z$4*($B162-$O162/3600)+'sv02'!$Y$4*($B162-$O162/3600)^2+'sv02'!$X$4*($B162-$O162/3600)^3+'sv02'!$W$4*($B162-$O162/3600)^4+'sv02'!$V$4*($B162-$O162/3600)^5+'sv02'!$U$4*($B162-$O162/3600)^6+'sv02'!$T$4*($B162-$O162/3600)^7+'sv02'!$S$4*($B162-$O162/3600)^8-J162*coord!$B$7*O162</f>
        <v>-14251.548283951735</v>
      </c>
      <c r="S162" s="5">
        <f>'sv02'!$AA$5+'sv02'!$Z$5*($B162-$O162/3600)+'sv02'!$Y$5*($B162-$O162/3600)^2+'sv02'!$X$5*($B162-$O162/3600)^3+'sv02'!$W$5*($B162-$O162/3600)^4+'sv02'!$V$5*($B162-$O162/3600)^5+'sv02'!$U$5*($B162-$O162/3600)^6+'sv02'!$T$5*($B162-$O162/3600)^7+'sv02'!$S$5*($B162-$O162/3600)^8</f>
        <v>20372.40427428496</v>
      </c>
      <c r="T162">
        <f>coord!$B$6*M162/10^6</f>
        <v>77224.749950593745</v>
      </c>
      <c r="U162">
        <f>SQRT(($Q162*1000+coord!$B$7*$O162*$R162*1000-coord!$B$2)^2+($R162*1000-coord!$B$7*$O162*$Q162*1000-coord!$C$2)^2+($S162*1000-coord!$D$2)^2)</f>
        <v>22438130.3609409</v>
      </c>
      <c r="V162" s="3">
        <f>$D162-(U162-$T162)-coord!$E$2</f>
        <v>-69.075990304350853</v>
      </c>
      <c r="W162" s="3"/>
      <c r="Y162">
        <f>-(Q162*1000-coord!$B$2)/$U162</f>
        <v>-0.20828846630890616</v>
      </c>
      <c r="Z162">
        <f>-(R162*1000-coord!$C$2)/$U162</f>
        <v>0.67635396768928269</v>
      </c>
      <c r="AA162">
        <f>-(S162*1000-coord!$D$2)/$U162</f>
        <v>-0.70651234059949553</v>
      </c>
      <c r="AB162">
        <v>1</v>
      </c>
      <c r="AD162">
        <f t="array" ref="AD162:AJ165">TRANSPOSE(Y162:AB168)</f>
        <v>-0.20828846630890616</v>
      </c>
      <c r="AE162">
        <v>-0.14688315388460813</v>
      </c>
      <c r="AF162">
        <v>-0.18539457679993501</v>
      </c>
      <c r="AG162">
        <v>-0.86240293035971938</v>
      </c>
      <c r="AH162">
        <v>-0.41680247546989196</v>
      </c>
      <c r="AI162">
        <v>-0.43942581835050065</v>
      </c>
      <c r="AJ162">
        <v>-0.96277262241582373</v>
      </c>
      <c r="AL162">
        <f t="array" ref="AL162:AO165">MMULT(AD162:AJ165,Y162:AB168)</f>
        <v>2.136819185356543</v>
      </c>
      <c r="AM162">
        <v>0.25151026277842131</v>
      </c>
      <c r="AN162">
        <v>1.1225532750916112</v>
      </c>
      <c r="AO162">
        <v>-3.2219700435893852</v>
      </c>
      <c r="AQ162">
        <f t="array" ref="AQ162:AT165">MINVERSE(AL162:AO165)</f>
        <v>2.6295894887924822</v>
      </c>
      <c r="AR162">
        <v>0.25707175663298848</v>
      </c>
      <c r="AS162">
        <v>1.700178570224206</v>
      </c>
      <c r="AT162">
        <v>2.0460011692812703</v>
      </c>
      <c r="AV162">
        <f t="array" ref="AV162:AV165">MMULT(AD162:AJ165,V162:V168)</f>
        <v>3.8814287449438254</v>
      </c>
      <c r="AX162">
        <f t="array" ref="AX162:AX165">MMULT(AQ162:AT165,AV162:AV165)</f>
        <v>8.1622410258677291</v>
      </c>
      <c r="BA162">
        <f>SQRT(($Q162*1000+coord!$B$7*$O162*$R162*1000-coord!$B$2-AX$162)^2+($R162*1000-coord!$B$7*$O162*$Q162*1000-coord!$C$2-AX$163)^2+($S162*1000-coord!$D$2-AX$164)^2)</f>
        <v>22438057.39876477</v>
      </c>
      <c r="BB162" s="3">
        <f>$D162-(BA162-$T162)-AX$165</f>
        <v>-6.8549454361246092</v>
      </c>
      <c r="BD162" s="1">
        <f>coord!$B$2+$AX162</f>
        <v>4388886.3330410263</v>
      </c>
      <c r="BE162" s="1">
        <f>coord!$C$2+$AX163</f>
        <v>924500.70508645196</v>
      </c>
      <c r="BF162" s="1">
        <f>coord!$D$2+$AX164</f>
        <v>4519622.5976621434</v>
      </c>
      <c r="BG162" s="1">
        <f>coord!$E$2+$AX165</f>
        <v>10.741131260995672</v>
      </c>
      <c r="BH162" s="8">
        <f>lat($BD162,$BE162,$BF162)</f>
        <v>45.411428705827866</v>
      </c>
      <c r="BI162" s="8">
        <f>lon($BD162,$BE162,$BF162)</f>
        <v>11.895216183215723</v>
      </c>
      <c r="BJ162" s="6">
        <f>h($BD162,$BE162,$BF162)</f>
        <v>82.113769360817969</v>
      </c>
      <c r="BL162">
        <f>grado($BH162)</f>
        <v>45</v>
      </c>
      <c r="BM162">
        <f>MINUTOprimo($BH162)</f>
        <v>24</v>
      </c>
      <c r="BN162">
        <f>MINUTOsecondo($BH162)</f>
        <v>41.143340980318612</v>
      </c>
      <c r="BO162">
        <f>grado($BI162)</f>
        <v>11</v>
      </c>
      <c r="BP162">
        <f>MINUTOprimo($BI162)</f>
        <v>53</v>
      </c>
      <c r="BQ162">
        <f>MINUTOsecondo($BI162)</f>
        <v>42.778259576602977</v>
      </c>
      <c r="BS162">
        <f>-SIN(RADIANS(BH162))*COS(RADIANS(BI162))</f>
        <v>-0.69687317594501852</v>
      </c>
      <c r="BT162">
        <f>-SIN(RADIANS(BI162))</f>
        <v>-0.20612248568119584</v>
      </c>
      <c r="BU162">
        <f>COS(RADIANS(BH162))*COS(RADIANS(BI162))</f>
        <v>0.68693616700892113</v>
      </c>
      <c r="BW162" t="s">
        <v>93</v>
      </c>
      <c r="BX162">
        <f t="array" ref="BX162:BZ164">MINVERSE(BS162:BU164)</f>
        <v>-0.69687317594501852</v>
      </c>
      <c r="BY162">
        <v>-0.14679344453893808</v>
      </c>
      <c r="BZ162">
        <v>0.70201101222751283</v>
      </c>
      <c r="CA162">
        <v>0</v>
      </c>
      <c r="CB162" s="1">
        <f t="array" ref="CB162:CB164">MMULT(BX162:BZ164,AX162:AX164)</f>
        <v>28.610666785948897</v>
      </c>
      <c r="CD162" s="1">
        <f t="array" ref="CD162:CF162">TRANSPOSE(CB162:CB164)</f>
        <v>28.610666785948897</v>
      </c>
      <c r="CE162" s="1">
        <v>-69.697931515013607</v>
      </c>
      <c r="CF162" s="1">
        <v>19.993031410742219</v>
      </c>
      <c r="CH162">
        <f t="array" ref="CH162:CK165">MMULT(BX162:CA165,AQ162:AT165)</f>
        <v>-0.67668274808566786</v>
      </c>
      <c r="CI162">
        <v>0.10558595536701326</v>
      </c>
      <c r="CJ162">
        <v>0.60522696072301829</v>
      </c>
      <c r="CK162">
        <v>-1.3383130093522544E-2</v>
      </c>
      <c r="CM162">
        <f t="array" ref="CM162:CP165">TRANSPOSE(BX162:CA165)</f>
        <v>-0.69687317594501852</v>
      </c>
      <c r="CN162">
        <v>-0.20612248568119582</v>
      </c>
      <c r="CO162">
        <v>0.68693616700892113</v>
      </c>
      <c r="CP162">
        <v>0</v>
      </c>
      <c r="CR162" s="5">
        <f t="array" ref="CR162:CU165">MMULT(CH162:CK165,CM162:CP165)</f>
        <v>0.88093872100695103</v>
      </c>
      <c r="CS162" s="5">
        <v>0.242798153559557</v>
      </c>
      <c r="CT162" s="5">
        <v>-1.8537420863364407E-2</v>
      </c>
      <c r="CU162" s="5">
        <v>-1.3383130093522544E-2</v>
      </c>
      <c r="CW162" s="3">
        <f>SQRT(CR162+CS163)</f>
        <v>1.1743223651782093</v>
      </c>
      <c r="CX162" s="3">
        <f>CT164</f>
        <v>4.4194342183587398</v>
      </c>
      <c r="CY162" s="3">
        <f>CU165</f>
        <v>2.1166053077063252</v>
      </c>
      <c r="CZ162" s="3">
        <f>BB169</f>
        <v>0</v>
      </c>
      <c r="DA162">
        <v>6</v>
      </c>
      <c r="DB162" s="6">
        <f>CY162*DA162*CZ162</f>
        <v>0</v>
      </c>
      <c r="DC162">
        <v>5.33</v>
      </c>
      <c r="DD162" s="6">
        <f>CZ162*DC162*SQRT(0.5*(CR162+CS163)+SQRT((0.5*(CR162-CS163))^2+CS162^2))</f>
        <v>0</v>
      </c>
    </row>
    <row r="163" spans="1:108">
      <c r="A163">
        <v>44</v>
      </c>
      <c r="B163">
        <f t="shared" si="32"/>
        <v>0.6166666666666667</v>
      </c>
      <c r="C163">
        <v>23</v>
      </c>
      <c r="D163">
        <v>21334771.756000001</v>
      </c>
      <c r="E163">
        <v>112114976.88749</v>
      </c>
      <c r="F163">
        <v>-2103.6840000000002</v>
      </c>
      <c r="G163">
        <v>21334768.188000001</v>
      </c>
      <c r="H163">
        <v>87362305.50147</v>
      </c>
      <c r="J163" s="5">
        <f>'sv23'!$AA$3+'sv23'!$Z$3*($B163)+'sv23'!$Y$3*($B163)^2+'sv23'!$X$3*($B163)^3+'sv23'!$W$3*($B163)^4+'sv23'!$V$3*($B163)^5+'sv23'!$U$3*($B163)^6+'sv23'!$T$3*($B163)^7+'sv23'!$S$3*($B163)^8</f>
        <v>7538.6974528075589</v>
      </c>
      <c r="K163" s="5">
        <f>'sv23'!$AA$4+'sv23'!$Z$4*($B163)+'sv23'!$Y$4*($B163)^2+'sv23'!$X$4*($B163)^3+'sv23'!$W$4*($B163)^4+'sv23'!$V$4*($B163)^5+'sv23'!$U$4*($B163)^6+'sv23'!$T$4*($B163)^7+'sv23'!$S$4*($B163)^8</f>
        <v>14297.442486377091</v>
      </c>
      <c r="L163" s="5">
        <f>'sv23'!$AA$5+'sv23'!$Z$5*($B163)+'sv23'!$Y$5*($B163)^2+'sv23'!$X$5*($B163)^3+'sv23'!$W$5*($B163)^4+'sv23'!$V$5*($B163)^5+'sv23'!$U$5*($B163)^6+'sv23'!$T$5*($B163)^7+'sv23'!$S$5*($B163)^8</f>
        <v>20986.672243400222</v>
      </c>
      <c r="M163" s="5">
        <f>'sv23'!$AA$6+'sv23'!$Z$6*$B163+'sv23'!$Y$6*$B163^2+'sv23'!$X$6*$B163^3+'sv23'!$W$6*$B163^4+'sv23'!$V$6*$B163^5+'sv23'!$U$6*$B163^6+'sv23'!$T$6*$B163^7+'sv23'!$S$6*$B163^8</f>
        <v>370.05577421158387</v>
      </c>
      <c r="O163">
        <f>SQRT(($J163*1000-coord!$B$2)^2+($K163*1000-coord!$C$2)^2+($L163*1000-coord!$D$2)^2)/coord!$B$6</f>
        <v>7.1535301393627779E-2</v>
      </c>
      <c r="Q163" s="5">
        <f>'sv23'!$AA$3+'sv23'!$Z$3*($B163-$O163/3600)+'sv23'!$Y$3*($B163-$O163/3600)^2+'sv23'!$X$3*($B163-$O163/3600)^3+'sv23'!$W$3*($B163-$O163/3600)^4+'sv23'!$V$3*($B163-$O163/3600)^5+'sv23'!$U$3*($B163-$O163/3600)^6+'sv23'!$T$3*($B163-$O163/3600)^7+'sv23'!$S$3*($B163-$O163/3600)^8+K163*coord!$B$7*O163</f>
        <v>7538.8884692347328</v>
      </c>
      <c r="R163" s="5">
        <f>'sv23'!$AA$4+'sv23'!$Z$4*($B163-$O163/3600)+'sv23'!$Y$4*($B163-$O163/3600)^2+'sv23'!$X$4*($B163-$O163/3600)^3+'sv23'!$W$4*($B163-$O163/3600)^4+'sv23'!$V$4*($B163-$O163/3600)^5+'sv23'!$U$4*($B163-$O163/3600)^6+'sv23'!$T$4*($B163-$O163/3600)^7+'sv23'!$S$4*($B163-$O163/3600)^8-J163*coord!$B$7*O163</f>
        <v>14297.251090638978</v>
      </c>
      <c r="S163" s="5">
        <f>'sv23'!$AA$5+'sv23'!$Z$5*($B163-$O163/3600)+'sv23'!$Y$5*($B163-$O163/3600)^2+'sv23'!$X$5*($B163-$O163/3600)^3+'sv23'!$W$5*($B163-$O163/3600)^4+'sv23'!$V$5*($B163-$O163/3600)^5+'sv23'!$U$5*($B163-$O163/3600)^6+'sv23'!$T$5*($B163-$O163/3600)^7+'sv23'!$S$5*($B163-$O163/3600)^8</f>
        <v>20986.736152928537</v>
      </c>
      <c r="T163">
        <f>coord!$B$6*M163/10^6</f>
        <v>110939.93014798373</v>
      </c>
      <c r="U163">
        <f>SQRT(($Q163*1000+coord!$B$7*$O163*$R163*1000-coord!$B$2)^2+($R163*1000-coord!$B$7*$O163*$Q163*1000-coord!$C$2)^2+($S163*1000-coord!$D$2)^2)</f>
        <v>21445688.052895371</v>
      </c>
      <c r="V163" s="3">
        <f>$D163-(U163-$T163)-coord!$E$2</f>
        <v>23.633252613246441</v>
      </c>
      <c r="W163" s="3"/>
      <c r="Y163">
        <f>-(Q163*1000-coord!$B$2)/$U163</f>
        <v>-0.14688315388460813</v>
      </c>
      <c r="Z163">
        <f>-(R163*1000-coord!$C$2)/$U163</f>
        <v>-0.62356035602380877</v>
      </c>
      <c r="AA163">
        <f>-(S163*1000-coord!$D$2)/$U163</f>
        <v>-0.76785355816109235</v>
      </c>
      <c r="AB163">
        <v>1</v>
      </c>
      <c r="AD163">
        <v>0.67635396768928269</v>
      </c>
      <c r="AE163">
        <v>-0.62356035602380877</v>
      </c>
      <c r="AF163">
        <v>0.71701260751331375</v>
      </c>
      <c r="AG163">
        <v>0.3616033016047065</v>
      </c>
      <c r="AH163">
        <v>-0.90821053819450093</v>
      </c>
      <c r="AI163">
        <v>-0.26559788571870008</v>
      </c>
      <c r="AJ163">
        <v>-0.2599985737467817</v>
      </c>
      <c r="AL163">
        <v>0.25151026277842131</v>
      </c>
      <c r="AM163">
        <v>2.4541341112141897</v>
      </c>
      <c r="AN163">
        <v>-0.39616527982852862</v>
      </c>
      <c r="AO163">
        <v>-0.30239747687648849</v>
      </c>
      <c r="AQ163">
        <v>0.25707175663298815</v>
      </c>
      <c r="AR163">
        <v>0.511818482523554</v>
      </c>
      <c r="AS163">
        <v>0.5126186891913117</v>
      </c>
      <c r="AT163">
        <v>0.38904311153975835</v>
      </c>
      <c r="AV163">
        <v>-185.37516043942881</v>
      </c>
      <c r="AX163">
        <v>-69.508113548032981</v>
      </c>
      <c r="BA163">
        <f>SQRT(($Q163*1000+coord!$B$7*$O163*$R163*1000-coord!$B$2-AX$162)^2+($R163*1000-coord!$B$7*$O163*$Q163*1000-coord!$C$2-AX$163)^2+($S163*1000-coord!$D$2-AX$164)^2)</f>
        <v>21445703.841167953</v>
      </c>
      <c r="BB163" s="3">
        <f t="shared" ref="BB163:BB168" si="33">$D163-(BA163-$T163)-AX$165</f>
        <v>-2.896151229743765</v>
      </c>
      <c r="BD163" s="1"/>
      <c r="BE163" s="1"/>
      <c r="BF163" s="1"/>
      <c r="BS163">
        <f>-SIN(RADIANS(BH162))*SIN(RADIANS(BI162))</f>
        <v>-0.14679344453893808</v>
      </c>
      <c r="BT163">
        <f>COS(RADIANS(BI162))</f>
        <v>0.97852619837008203</v>
      </c>
      <c r="BU163">
        <f>COS(RADIANS(BH162))*SIN(RADIANS(BI162))</f>
        <v>0.14470025481590726</v>
      </c>
      <c r="BW163" t="s">
        <v>94</v>
      </c>
      <c r="BX163">
        <v>-0.20612248568119582</v>
      </c>
      <c r="BY163">
        <v>0.97852619837008215</v>
      </c>
      <c r="BZ163">
        <v>5.6729345952844189E-17</v>
      </c>
      <c r="CA163">
        <v>0</v>
      </c>
      <c r="CB163" s="1">
        <v>-69.697931515013607</v>
      </c>
      <c r="CD163" s="1"/>
      <c r="CE163" s="1"/>
      <c r="CF163" s="1"/>
      <c r="CH163">
        <v>-0.29046607302465449</v>
      </c>
      <c r="CI163">
        <v>0.44783952448369468</v>
      </c>
      <c r="CJ163">
        <v>0.15116578415131424</v>
      </c>
      <c r="CK163">
        <v>-4.1037969781820886E-2</v>
      </c>
      <c r="CM163">
        <v>-0.14679344453893808</v>
      </c>
      <c r="CN163">
        <v>0.97852619837008215</v>
      </c>
      <c r="CO163">
        <v>0.14470025481590729</v>
      </c>
      <c r="CP163">
        <v>0</v>
      </c>
      <c r="CR163" s="5">
        <v>0.24279815355955683</v>
      </c>
      <c r="CS163" s="5">
        <v>0.49809429635079261</v>
      </c>
      <c r="CT163" s="5">
        <v>-2.7074012209240272E-2</v>
      </c>
      <c r="CU163" s="5">
        <v>-4.1037969781820886E-2</v>
      </c>
    </row>
    <row r="164" spans="1:108">
      <c r="A164">
        <v>44</v>
      </c>
      <c r="B164">
        <f t="shared" si="32"/>
        <v>0.6166666666666667</v>
      </c>
      <c r="C164">
        <v>10</v>
      </c>
      <c r="D164">
        <v>22585464.636</v>
      </c>
      <c r="E164">
        <v>118687422.48848</v>
      </c>
      <c r="F164">
        <v>2922.223</v>
      </c>
      <c r="G164">
        <v>22585464.370000001</v>
      </c>
      <c r="H164">
        <v>92483709.887459993</v>
      </c>
      <c r="J164" s="5">
        <f>'sv10'!$AA$3+'sv10'!$Z$3*($B164)+'sv10'!$Y$3*($B164)^2+'sv10'!$X$3*($B164)^3+'sv10'!$W$3*($B164)^4+'sv10'!$V$3*($B164)^5+'sv10'!$U$3*($B164)^6+'sv10'!$T$3*($B164)^7+'sv10'!$S$3*($B164)^8</f>
        <v>8573.892445015852</v>
      </c>
      <c r="K164" s="5">
        <f>'sv10'!$AA$4+'sv10'!$Z$4*($B164)+'sv10'!$Y$4*($B164)^2+'sv10'!$X$4*($B164)^3+'sv10'!$W$4*($B164)^4+'sv10'!$V$4*($B164)^5+'sv10'!$U$4*($B164)^6+'sv10'!$T$4*($B164)^7+'sv10'!$S$4*($B164)^8</f>
        <v>-15260.07241933777</v>
      </c>
      <c r="L164" s="5">
        <f>'sv10'!$AA$5+'sv10'!$Z$5*($B164)+'sv10'!$Y$5*($B164)^2+'sv10'!$X$5*($B164)^3+'sv10'!$W$5*($B164)^4+'sv10'!$V$5*($B164)^5+'sv10'!$U$5*($B164)^6+'sv10'!$T$5*($B164)^7+'sv10'!$S$5*($B164)^8</f>
        <v>19687.421447781126</v>
      </c>
      <c r="M164" s="5">
        <f>'sv10'!$AA$6+'sv10'!$Z$6*$B164+'sv10'!$Y$6*$B164^2+'sv10'!$X$6*$B164^3+'sv10'!$W$6*$B164^4+'sv10'!$V$6*$B164^5+'sv10'!$U$6*$B164^6+'sv10'!$T$6*$B164^7+'sv10'!$S$6*$B164^8</f>
        <v>-43.001884233206539</v>
      </c>
      <c r="O164">
        <f>SQRT(($J164*1000-coord!$B$2)^2+($K164*1000-coord!$C$2)^2+($L164*1000-coord!$D$2)^2)/coord!$B$6</f>
        <v>7.5293933349355857E-2</v>
      </c>
      <c r="Q164" s="5">
        <f>'sv10'!$AA$3+'sv10'!$Z$3*($B164-$O164/3600)+'sv10'!$Y$3*($B164-$O164/3600)^2+'sv10'!$X$3*($B164-$O164/3600)^3+'sv10'!$W$3*($B164-$O164/3600)^4+'sv10'!$V$3*($B164-$O164/3600)^5+'sv10'!$U$3*($B164-$O164/3600)^6+'sv10'!$T$3*($B164-$O164/3600)^7+'sv10'!$S$3*($B164-$O164/3600)^8+K164*coord!$B$7*O164</f>
        <v>8573.7216701425968</v>
      </c>
      <c r="R164" s="5">
        <f>'sv10'!$AA$4+'sv10'!$Z$4*($B164-$O164/3600)+'sv10'!$Y$4*($B164-$O164/3600)^2+'sv10'!$X$4*($B164-$O164/3600)^3+'sv10'!$W$4*($B164-$O164/3600)^4+'sv10'!$V$4*($B164-$O164/3600)^5+'sv10'!$U$4*($B164-$O164/3600)^6+'sv10'!$T$4*($B164-$O164/3600)^7+'sv10'!$S$4*($B164-$O164/3600)^8-J164*coord!$B$7*O164</f>
        <v>-15260.291292952901</v>
      </c>
      <c r="S164" s="5">
        <f>'sv10'!$AA$5+'sv10'!$Z$5*($B164-$O164/3600)+'sv10'!$Y$5*($B164-$O164/3600)^2+'sv10'!$X$5*($B164-$O164/3600)^3+'sv10'!$W$5*($B164-$O164/3600)^4+'sv10'!$V$5*($B164-$O164/3600)^5+'sv10'!$U$5*($B164-$O164/3600)^6+'sv10'!$T$5*($B164-$O164/3600)^7+'sv10'!$S$5*($B164-$O164/3600)^8</f>
        <v>19687.324485969879</v>
      </c>
      <c r="T164">
        <f>coord!$B$6*M164/10^6</f>
        <v>-12891.640572904435</v>
      </c>
      <c r="U164">
        <f>SQRT(($Q164*1000+coord!$B$7*$O164*$R164*1000-coord!$B$2)^2+($R164*1000-coord!$B$7*$O164*$Q164*1000-coord!$C$2)^2+($S164*1000-coord!$D$2)^2)</f>
        <v>22572631.689537443</v>
      </c>
      <c r="V164" s="3">
        <f>$D164-(U164-$T164)-coord!$E$2</f>
        <v>-58.694110348820686</v>
      </c>
      <c r="W164" s="3"/>
      <c r="Y164">
        <f>-(Q164*1000-coord!$B$2)/$U164</f>
        <v>-0.18539457679993501</v>
      </c>
      <c r="Z164">
        <f>-(R164*1000-coord!$C$2)/$U164</f>
        <v>0.71701260751331375</v>
      </c>
      <c r="AA164">
        <f>-(S164*1000-coord!$D$2)/$U164</f>
        <v>-0.6719524962922343</v>
      </c>
      <c r="AB164">
        <v>1</v>
      </c>
      <c r="AD164">
        <v>-0.70651234059949553</v>
      </c>
      <c r="AE164">
        <v>-0.76785355816109235</v>
      </c>
      <c r="AF164">
        <v>-0.6719524962922343</v>
      </c>
      <c r="AG164">
        <v>-0.35426413591101041</v>
      </c>
      <c r="AH164">
        <v>3.7829437765291775E-2</v>
      </c>
      <c r="AI164">
        <v>-0.85811600770858421</v>
      </c>
      <c r="AJ164">
        <v>-7.3957698844166503E-2</v>
      </c>
      <c r="AL164">
        <v>1.1225532750916112</v>
      </c>
      <c r="AM164">
        <v>-0.39616527982852862</v>
      </c>
      <c r="AN164">
        <v>2.4090458997318489</v>
      </c>
      <c r="AO164">
        <v>-3.394826799751292</v>
      </c>
      <c r="AQ164">
        <v>1.7001785702242038</v>
      </c>
      <c r="AR164">
        <v>0.51261868919131182</v>
      </c>
      <c r="AS164">
        <v>2.6570592644004485</v>
      </c>
      <c r="AT164">
        <v>2.0933135742200433</v>
      </c>
      <c r="AV164">
        <v>82.921526221930634</v>
      </c>
      <c r="AX164">
        <v>34.323362143421292</v>
      </c>
      <c r="BA164">
        <f>SQRT(($Q164*1000+coord!$B$7*$O164*$R164*1000-coord!$B$2-AX$162)^2+($R164*1000-coord!$B$7*$O164*$Q164*1000-coord!$C$2-AX$163)^2+($S164*1000-coord!$D$2-AX$164)^2)</f>
        <v>22572557.274336878</v>
      </c>
      <c r="BB164" s="3">
        <f t="shared" si="33"/>
        <v>4.9799589551939505</v>
      </c>
      <c r="BD164" s="1"/>
      <c r="BE164" s="1"/>
      <c r="BF164" s="1"/>
      <c r="BS164">
        <f>COS(RADIANS(BH162))</f>
        <v>0.70201101222751261</v>
      </c>
      <c r="BT164">
        <v>0</v>
      </c>
      <c r="BU164">
        <f>SIN(RADIANS(BH162))</f>
        <v>0.71216608927363501</v>
      </c>
      <c r="BW164" t="s">
        <v>95</v>
      </c>
      <c r="BX164">
        <v>0.68693616700892113</v>
      </c>
      <c r="BY164">
        <v>0.14470025481590729</v>
      </c>
      <c r="BZ164">
        <v>0.71216608927363489</v>
      </c>
      <c r="CA164">
        <v>0</v>
      </c>
      <c r="CB164" s="1">
        <v>19.993031410742219</v>
      </c>
      <c r="CD164" s="1"/>
      <c r="CE164" s="1"/>
      <c r="CF164" s="1"/>
      <c r="CH164">
        <v>3.0543679963522337</v>
      </c>
      <c r="CI164">
        <v>0.61572179915831804</v>
      </c>
      <c r="CJ164">
        <v>3.1343577105062517</v>
      </c>
      <c r="CK164">
        <v>2.9525537800717263</v>
      </c>
      <c r="CM164">
        <v>0.70201101222751283</v>
      </c>
      <c r="CN164">
        <v>5.6729345952844189E-17</v>
      </c>
      <c r="CO164">
        <v>0.71216608927363489</v>
      </c>
      <c r="CP164">
        <v>0</v>
      </c>
      <c r="CR164" s="5">
        <v>-1.8537420863362186E-2</v>
      </c>
      <c r="CS164" s="5">
        <v>-2.7074012209239707E-2</v>
      </c>
      <c r="CT164" s="5">
        <v>4.4194342183587398</v>
      </c>
      <c r="CU164" s="5">
        <v>2.9525537800717263</v>
      </c>
    </row>
    <row r="165" spans="1:108">
      <c r="A165">
        <v>44</v>
      </c>
      <c r="B165">
        <f t="shared" si="32"/>
        <v>0.6166666666666667</v>
      </c>
      <c r="C165">
        <v>4</v>
      </c>
      <c r="D165">
        <v>21284394.495999999</v>
      </c>
      <c r="E165">
        <v>111850244.94349</v>
      </c>
      <c r="F165">
        <v>-1337.19</v>
      </c>
      <c r="G165">
        <v>21284394.068</v>
      </c>
      <c r="H165">
        <v>87156031.339469999</v>
      </c>
      <c r="J165" s="5">
        <f>'sv04'!$AA$3+'sv04'!$Z$3*($B165)+'sv04'!$Y$3*($B165)^2+'sv04'!$X$3*($B165)^3+'sv04'!$W$3*($B165)^4+'sv04'!$V$3*($B165)^5+'sv04'!$U$3*($B165)^6+'sv04'!$T$3*($B165)^7+'sv04'!$S$3*($B165)^8</f>
        <v>22767.162449907108</v>
      </c>
      <c r="K165" s="5">
        <f>'sv04'!$AA$4+'sv04'!$Z$4*($B165)+'sv04'!$Y$4*($B165)^2+'sv04'!$X$4*($B165)^3+'sv04'!$W$4*($B165)^4+'sv04'!$V$4*($B165)^5+'sv04'!$U$4*($B165)^6+'sv04'!$T$4*($B165)^7+'sv04'!$S$4*($B165)^8</f>
        <v>-6781.1894325115381</v>
      </c>
      <c r="L165" s="5">
        <f>'sv04'!$AA$5+'sv04'!$Z$5*($B165)+'sv04'!$Y$5*($B165)^2+'sv04'!$X$5*($B165)^3+'sv04'!$W$5*($B165)^4+'sv04'!$V$5*($B165)^5+'sv04'!$U$5*($B165)^6+'sv04'!$T$5*($B165)^7+'sv04'!$S$5*($B165)^8</f>
        <v>12068.912190264189</v>
      </c>
      <c r="M165" s="5">
        <f>'sv04'!$AA$6+'sv04'!$Z$6*$B165+'sv04'!$Y$6*$B165^2+'sv04'!$X$6*$B165^3+'sv04'!$W$6*$B165^4+'sv04'!$V$6*$B165^5+'sv04'!$U$6*$B165^6+'sv04'!$T$6*$B165^7+'sv04'!$S$6*$B165^8</f>
        <v>86.60570458092262</v>
      </c>
      <c r="O165">
        <f>SQRT(($J165*1000-coord!$B$2)^2+($K165*1000-coord!$C$2)^2+($L165*1000-coord!$D$2)^2)/coord!$B$6</f>
        <v>7.1083780973426797E-2</v>
      </c>
      <c r="Q165" s="5">
        <f>'sv04'!$AA$3+'sv04'!$Z$3*($B165-$O165/3600)+'sv04'!$Y$3*($B165-$O165/3600)^2+'sv04'!$X$3*($B165-$O165/3600)^3+'sv04'!$W$3*($B165-$O165/3600)^4+'sv04'!$V$3*($B165-$O165/3600)^5+'sv04'!$U$3*($B165-$O165/3600)^6+'sv04'!$T$3*($B165-$O165/3600)^7+'sv04'!$S$3*($B165-$O165/3600)^8+K165*coord!$B$7*O165</f>
        <v>22767.019282568337</v>
      </c>
      <c r="R165" s="5">
        <f>'sv04'!$AA$4+'sv04'!$Z$4*($B165-$O165/3600)+'sv04'!$Y$4*($B165-$O165/3600)^2+'sv04'!$X$4*($B165-$O165/3600)^3+'sv04'!$W$4*($B165-$O165/3600)^4+'sv04'!$V$4*($B165-$O165/3600)^5+'sv04'!$U$4*($B165-$O165/3600)^6+'sv04'!$T$4*($B165-$O165/3600)^7+'sv04'!$S$4*($B165-$O165/3600)^8-J165*coord!$B$7*O165</f>
        <v>-6781.3364684953613</v>
      </c>
      <c r="S165" s="5">
        <f>'sv04'!$AA$5+'sv04'!$Z$5*($B165-$O165/3600)+'sv04'!$Y$5*($B165-$O165/3600)^2+'sv04'!$X$5*($B165-$O165/3600)^3+'sv04'!$W$5*($B165-$O165/3600)^4+'sv04'!$V$5*($B165-$O165/3600)^5+'sv04'!$U$5*($B165-$O165/3600)^6+'sv04'!$T$5*($B165-$O165/3600)^7+'sv04'!$S$5*($B165-$O165/3600)^8</f>
        <v>12069.094487011409</v>
      </c>
      <c r="T165">
        <f>coord!$B$6*M165/10^6</f>
        <v>25963.737053136654</v>
      </c>
      <c r="U165">
        <f>SQRT(($Q165*1000+coord!$B$7*$O165*$R165*1000-coord!$B$2)^2+($R165*1000-coord!$B$7*$O165*$Q165*1000-coord!$C$2)^2+($S165*1000-coord!$D$2)^2)</f>
        <v>21310388.061996236</v>
      </c>
      <c r="V165" s="3">
        <f>$D165-(U165-$T165)-coord!$E$2</f>
        <v>-29.828943099826574</v>
      </c>
      <c r="W165" s="3"/>
      <c r="Y165">
        <f>-(Q165*1000-coord!$B$2)/$U165</f>
        <v>-0.86240293035971938</v>
      </c>
      <c r="Z165">
        <f>-(R165*1000-coord!$C$2)/$U165</f>
        <v>0.3616033016047065</v>
      </c>
      <c r="AA165">
        <f>-(S165*1000-coord!$D$2)/$U165</f>
        <v>-0.35426413591101041</v>
      </c>
      <c r="AB165">
        <v>1</v>
      </c>
      <c r="AD165">
        <v>1</v>
      </c>
      <c r="AE165">
        <v>1</v>
      </c>
      <c r="AF165">
        <v>1</v>
      </c>
      <c r="AG165">
        <v>1</v>
      </c>
      <c r="AH165">
        <v>1</v>
      </c>
      <c r="AI165">
        <v>1</v>
      </c>
      <c r="AJ165">
        <v>1</v>
      </c>
      <c r="AL165">
        <v>-3.2219700435893852</v>
      </c>
      <c r="AM165">
        <v>-0.30239747687648849</v>
      </c>
      <c r="AN165">
        <v>-3.394826799751292</v>
      </c>
      <c r="AO165">
        <v>7</v>
      </c>
      <c r="AQ165">
        <v>2.0460011692812694</v>
      </c>
      <c r="AR165">
        <v>0.3890431115397584</v>
      </c>
      <c r="AS165">
        <v>2.0933135742200437</v>
      </c>
      <c r="AT165">
        <v>2.1166053077063252</v>
      </c>
      <c r="AV165">
        <v>-46.61336874961853</v>
      </c>
      <c r="AX165">
        <v>10.741131260995672</v>
      </c>
      <c r="BA165">
        <f>SQRT(($Q165*1000+coord!$B$7*$O165*$R165*1000-coord!$B$2-AX$162)^2+($R165*1000-coord!$B$7*$O165*$Q165*1000-coord!$C$2-AX$163)^2+($S165*1000-coord!$D$2-AX$164)^2)</f>
        <v>21310343.728681065</v>
      </c>
      <c r="BB165" s="3">
        <f t="shared" si="33"/>
        <v>3.7632408104791182</v>
      </c>
      <c r="BD165" s="1"/>
      <c r="BE165" s="1"/>
      <c r="BF165" s="1"/>
      <c r="BX165">
        <v>0</v>
      </c>
      <c r="BY165">
        <v>0</v>
      </c>
      <c r="BZ165">
        <v>0</v>
      </c>
      <c r="CA165">
        <v>1</v>
      </c>
      <c r="CD165" s="1"/>
      <c r="CE165" s="1"/>
      <c r="CF165" s="1"/>
      <c r="CH165">
        <v>2.0460011692812694</v>
      </c>
      <c r="CI165">
        <v>0.3890431115397584</v>
      </c>
      <c r="CJ165">
        <v>2.0933135742200437</v>
      </c>
      <c r="CK165">
        <v>2.1166053077063252</v>
      </c>
      <c r="CM165">
        <v>0</v>
      </c>
      <c r="CN165">
        <v>0</v>
      </c>
      <c r="CO165">
        <v>0</v>
      </c>
      <c r="CP165">
        <v>1</v>
      </c>
      <c r="CR165" s="5">
        <v>-1.3383130093521434E-2</v>
      </c>
      <c r="CS165" s="5">
        <v>-4.1037969781820609E-2</v>
      </c>
      <c r="CT165" s="5">
        <v>2.9525537800717254</v>
      </c>
      <c r="CU165" s="5">
        <v>2.1166053077063252</v>
      </c>
    </row>
    <row r="166" spans="1:108">
      <c r="A166">
        <v>44</v>
      </c>
      <c r="B166">
        <f t="shared" si="32"/>
        <v>0.6166666666666667</v>
      </c>
      <c r="C166">
        <v>20</v>
      </c>
      <c r="D166">
        <v>23399850.204</v>
      </c>
      <c r="E166">
        <v>122967034.12548</v>
      </c>
      <c r="F166">
        <v>-3186.5630000000001</v>
      </c>
      <c r="G166">
        <v>23399849.706</v>
      </c>
      <c r="H166">
        <v>95818461.294459999</v>
      </c>
      <c r="J166" s="5">
        <f>'sv20'!$AA$3+'sv20'!$Z$3*($B166)+'sv20'!$Y$3*($B166)^2+'sv20'!$X$3*($B166)^3+'sv20'!$W$3*($B166)^4+'sv20'!$V$3*($B166)^5+'sv20'!$U$3*($B166)^6+'sv20'!$T$3*($B166)^7+'sv20'!$S$3*($B166)^8</f>
        <v>14148.803387344406</v>
      </c>
      <c r="K166" s="5">
        <f>'sv20'!$AA$4+'sv20'!$Z$4*($B166)+'sv20'!$Y$4*($B166)^2+'sv20'!$X$4*($B166)^3+'sv20'!$W$4*($B166)^4+'sv20'!$V$4*($B166)^5+'sv20'!$U$4*($B166)^6+'sv20'!$T$4*($B166)^7+'sv20'!$S$4*($B166)^8</f>
        <v>22191.816944955397</v>
      </c>
      <c r="L166" s="5">
        <f>'sv20'!$AA$5+'sv20'!$Z$5*($B166)+'sv20'!$Y$5*($B166)^2+'sv20'!$X$5*($B166)^3+'sv20'!$W$5*($B166)^4+'sv20'!$V$5*($B166)^5+'sv20'!$U$5*($B166)^6+'sv20'!$T$5*($B166)^7+'sv20'!$S$5*($B166)^8</f>
        <v>3633.5147401712247</v>
      </c>
      <c r="M166" s="5">
        <f>'sv20'!$AA$6+'sv20'!$Z$6*$B166+'sv20'!$Y$6*$B166^2+'sv20'!$X$6*$B166^3+'sv20'!$W$6*$B166^4+'sv20'!$V$6*$B166^5+'sv20'!$U$6*$B166^6+'sv20'!$T$6*$B166^7+'sv20'!$S$6*$B166^8</f>
        <v>55.817602605254599</v>
      </c>
      <c r="O166">
        <f>SQRT(($J166*1000-coord!$B$2)^2+($K166*1000-coord!$C$2)^2+($L166*1000-coord!$D$2)^2)/coord!$B$6</f>
        <v>7.8109362404174904E-2</v>
      </c>
      <c r="Q166" s="5">
        <f>'sv20'!$AA$3+'sv20'!$Z$3*($B166-$O166/3600)+'sv20'!$Y$3*($B166-$O166/3600)^2+'sv20'!$X$3*($B166-$O166/3600)^3+'sv20'!$W$3*($B166-$O166/3600)^4+'sv20'!$V$3*($B166-$O166/3600)^5+'sv20'!$U$3*($B166-$O166/3600)^6+'sv20'!$T$3*($B166-$O166/3600)^7+'sv20'!$S$3*($B166-$O166/3600)^8+K166*coord!$B$7*O166</f>
        <v>14148.937225253947</v>
      </c>
      <c r="R166" s="5">
        <f>'sv20'!$AA$4+'sv20'!$Z$4*($B166-$O166/3600)+'sv20'!$Y$4*($B166-$O166/3600)^2+'sv20'!$X$4*($B166-$O166/3600)^3+'sv20'!$W$4*($B166-$O166/3600)^4+'sv20'!$V$4*($B166-$O166/3600)^5+'sv20'!$U$4*($B166-$O166/3600)^6+'sv20'!$T$4*($B166-$O166/3600)^7+'sv20'!$S$4*($B166-$O166/3600)^8-J166*coord!$B$7*O166</f>
        <v>22191.690751921564</v>
      </c>
      <c r="S166" s="5">
        <f>'sv20'!$AA$5+'sv20'!$Z$5*($B166-$O166/3600)+'sv20'!$Y$5*($B166-$O166/3600)^2+'sv20'!$X$5*($B166-$O166/3600)^3+'sv20'!$W$5*($B166-$O166/3600)^4+'sv20'!$V$5*($B166-$O166/3600)^5+'sv20'!$U$5*($B166-$O166/3600)^6+'sv20'!$T$5*($B166-$O166/3600)^7+'sv20'!$S$5*($B166-$O166/3600)^8</f>
        <v>3633.7548920251174</v>
      </c>
      <c r="T166">
        <f>coord!$B$6*M166/10^6</f>
        <v>16733.696284696482</v>
      </c>
      <c r="U166">
        <f>SQRT(($Q166*1000+coord!$B$7*$O166*$R166*1000-coord!$B$2)^2+($R166*1000-coord!$B$7*$O166*$Q166*1000-coord!$C$2)^2+($S166*1000-coord!$D$2)^2)</f>
        <v>23416509.327231605</v>
      </c>
      <c r="V166" s="3">
        <f>$D166-(U166-$T166)-coord!$E$2</f>
        <v>74.57305309176445</v>
      </c>
      <c r="W166" s="3"/>
      <c r="Y166">
        <f>-(Q166*1000-coord!$B$2)/$U166</f>
        <v>-0.41680247546989196</v>
      </c>
      <c r="Z166">
        <f>-(R166*1000-coord!$C$2)/$U166</f>
        <v>-0.90821053819450093</v>
      </c>
      <c r="AA166">
        <f>-(S166*1000-coord!$D$2)/$U166</f>
        <v>3.7829437765291775E-2</v>
      </c>
      <c r="AB166">
        <v>1</v>
      </c>
      <c r="BA166">
        <f>SQRT(($Q166*1000+coord!$B$7*$O166*$R166*1000-coord!$B$2-AX$162)^2+($R166*1000-coord!$B$7*$O166*$Q166*1000-coord!$C$2-AX$163)^2+($S166*1000-coord!$D$2-AX$164)^2)</f>
        <v>23416570.351390995</v>
      </c>
      <c r="BB166" s="3">
        <f t="shared" si="33"/>
        <v>2.8077624402894514</v>
      </c>
      <c r="BD166" s="1"/>
      <c r="BE166" s="1"/>
      <c r="BF166" s="1"/>
      <c r="CD166" s="1"/>
      <c r="CE166" s="1"/>
      <c r="CF166" s="1"/>
    </row>
    <row r="167" spans="1:108">
      <c r="A167">
        <v>44</v>
      </c>
      <c r="B167">
        <f t="shared" si="32"/>
        <v>0.6166666666666667</v>
      </c>
      <c r="C167">
        <v>13</v>
      </c>
      <c r="D167">
        <v>20228407.166999999</v>
      </c>
      <c r="E167">
        <v>106300995.54049</v>
      </c>
      <c r="F167">
        <v>-935.30799999999999</v>
      </c>
      <c r="G167">
        <v>20228405.372000001</v>
      </c>
      <c r="H167">
        <v>82831936.378480002</v>
      </c>
      <c r="J167" s="5">
        <f>'sv13'!$AA$3+'sv13'!$Z$3*($B167)+'sv13'!$Y$3*($B167)^2+'sv13'!$X$3*($B167)^3+'sv13'!$W$3*($B167)^4+'sv13'!$V$3*($B167)^5+'sv13'!$U$3*($B167)^6+'sv13'!$T$3*($B167)^7+'sv13'!$S$3*($B167)^8</f>
        <v>13317.689421660793</v>
      </c>
      <c r="K167" s="5">
        <f>'sv13'!$AA$4+'sv13'!$Z$4*($B167)+'sv13'!$Y$4*($B167)^2+'sv13'!$X$4*($B167)^3+'sv13'!$W$4*($B167)^4+'sv13'!$V$4*($B167)^5+'sv13'!$U$4*($B167)^6+'sv13'!$T$4*($B167)^7+'sv13'!$S$4*($B167)^8</f>
        <v>6321.6306116934484</v>
      </c>
      <c r="L167" s="5">
        <f>'sv13'!$AA$5+'sv13'!$Z$5*($B167)+'sv13'!$Y$5*($B167)^2+'sv13'!$X$5*($B167)^3+'sv13'!$W$5*($B167)^4+'sv13'!$V$5*($B167)^5+'sv13'!$U$5*($B167)^6+'sv13'!$T$5*($B167)^7+'sv13'!$S$5*($B167)^8</f>
        <v>21956.199927473506</v>
      </c>
      <c r="M167" s="5">
        <f>'sv13'!$AA$6+'sv13'!$Z$6*$B167+'sv13'!$Y$6*$B167^2+'sv13'!$X$6*$B167^3+'sv13'!$W$6*$B167^4+'sv13'!$V$6*$B167^5+'sv13'!$U$6*$B167^6+'sv13'!$T$6*$B167^7+'sv13'!$S$6*$B167^8</f>
        <v>304.2191954046603</v>
      </c>
      <c r="O167">
        <f>SQRT(($J167*1000-coord!$B$2)^2+($K167*1000-coord!$C$2)^2+($L167*1000-coord!$D$2)^2)/coord!$B$6</f>
        <v>6.7778989456853095E-2</v>
      </c>
      <c r="Q167" s="5">
        <f>'sv13'!$AA$3+'sv13'!$Z$3*($B167-$O167/3600)+'sv13'!$Y$3*($B167-$O167/3600)^2+'sv13'!$X$3*($B167-$O167/3600)^3+'sv13'!$W$3*($B167-$O167/3600)^4+'sv13'!$V$3*($B167-$O167/3600)^5+'sv13'!$U$3*($B167-$O167/3600)^6+'sv13'!$T$3*($B167-$O167/3600)^7+'sv13'!$S$3*($B167-$O167/3600)^8+K167*coord!$B$7*O167</f>
        <v>13317.839544497168</v>
      </c>
      <c r="R167" s="5">
        <f>'sv13'!$AA$4+'sv13'!$Z$4*($B167-$O167/3600)+'sv13'!$Y$4*($B167-$O167/3600)^2+'sv13'!$X$4*($B167-$O167/3600)^3+'sv13'!$W$4*($B167-$O167/3600)^4+'sv13'!$V$4*($B167-$O167/3600)^5+'sv13'!$U$4*($B167-$O167/3600)^6+'sv13'!$T$4*($B167-$O167/3600)^7+'sv13'!$S$4*($B167-$O167/3600)^8-J167*coord!$B$7*O167</f>
        <v>6321.4157408933897</v>
      </c>
      <c r="S167" s="5">
        <f>'sv13'!$AA$5+'sv13'!$Z$5*($B167-$O167/3600)+'sv13'!$Y$5*($B167-$O167/3600)^2+'sv13'!$X$5*($B167-$O167/3600)^3+'sv13'!$W$5*($B167-$O167/3600)^4+'sv13'!$V$5*($B167-$O167/3600)^5+'sv13'!$U$5*($B167-$O167/3600)^6+'sv13'!$T$5*($B167-$O167/3600)^7+'sv13'!$S$5*($B167-$O167/3600)^8</f>
        <v>21956.171121759442</v>
      </c>
      <c r="T167">
        <f>coord!$B$6*M167/10^6</f>
        <v>91202.620361145411</v>
      </c>
      <c r="U167">
        <f>SQRT(($Q167*1000+coord!$B$7*$O167*$R167*1000-coord!$B$2)^2+($R167*1000-coord!$B$7*$O167*$Q167*1000-coord!$C$2)^2+($S167*1000-coord!$D$2)^2)</f>
        <v>20319610.275095694</v>
      </c>
      <c r="V167" s="3">
        <f>$D167-(U167-$T167)-coord!$E$2</f>
        <v>-0.48773454874753952</v>
      </c>
      <c r="W167" s="3"/>
      <c r="Y167">
        <f>-(Q167*1000-coord!$B$2)/$U167</f>
        <v>-0.43942581835050065</v>
      </c>
      <c r="Z167">
        <f>-(R167*1000-coord!$C$2)/$U167</f>
        <v>-0.26559788571870008</v>
      </c>
      <c r="AA167">
        <f>-(S167*1000-coord!$D$2)/$U167</f>
        <v>-0.85811600770858421</v>
      </c>
      <c r="AB167">
        <v>1</v>
      </c>
      <c r="BA167">
        <f>SQRT(($Q167*1000+coord!$B$7*$O167*$R167*1000-coord!$B$2-AX$162)^2+($R167*1000-coord!$B$7*$O167*$Q167*1000-coord!$C$2-AX$163)^2+($S167*1000-coord!$D$2-AX$164)^2)</f>
        <v>20319595.696084324</v>
      </c>
      <c r="BB167" s="3">
        <f t="shared" si="33"/>
        <v>3.350145559753372</v>
      </c>
      <c r="BD167" s="1"/>
      <c r="BE167" s="1"/>
      <c r="BF167" s="1"/>
      <c r="CD167" s="1"/>
      <c r="CE167" s="1"/>
      <c r="CF167" s="1"/>
    </row>
    <row r="168" spans="1:108">
      <c r="A168">
        <v>44</v>
      </c>
      <c r="B168">
        <f t="shared" si="32"/>
        <v>0.6166666666666667</v>
      </c>
      <c r="C168">
        <v>7</v>
      </c>
      <c r="D168">
        <v>21516538.550999999</v>
      </c>
      <c r="E168">
        <v>113070180.15448999</v>
      </c>
      <c r="F168">
        <v>2601.913</v>
      </c>
      <c r="G168">
        <v>21516537.638999999</v>
      </c>
      <c r="H168">
        <v>88106634.771469995</v>
      </c>
      <c r="J168" s="5">
        <f>'sv07'!$AA$3+'sv07'!$Z$3*($B168)+'sv07'!$Y$3*($B168)^2+'sv07'!$X$3*($B168)^3+'sv07'!$W$3*($B168)^4+'sv07'!$V$3*($B168)^5+'sv07'!$U$3*($B168)^6+'sv07'!$T$3*($B168)^7+'sv07'!$S$3*($B168)^8</f>
        <v>25104.124638117544</v>
      </c>
      <c r="K168" s="5">
        <f>'sv07'!$AA$4+'sv07'!$Z$4*($B168)+'sv07'!$Y$4*($B168)^2+'sv07'!$X$4*($B168)^3+'sv07'!$W$4*($B168)^4+'sv07'!$V$4*($B168)^5+'sv07'!$U$4*($B168)^6+'sv07'!$T$4*($B168)^7+'sv07'!$S$4*($B168)^8</f>
        <v>6518.9286479323537</v>
      </c>
      <c r="L168" s="5">
        <f>'sv07'!$AA$5+'sv07'!$Z$5*($B168)+'sv07'!$Y$5*($B168)^2+'sv07'!$X$5*($B168)^3+'sv07'!$W$5*($B168)^4+'sv07'!$V$5*($B168)^5+'sv07'!$U$5*($B168)^6+'sv07'!$T$5*($B168)^7+'sv07'!$S$5*($B168)^8</f>
        <v>6111.1066182035065</v>
      </c>
      <c r="M168" s="5">
        <f>'sv07'!$AA$6+'sv07'!$Z$6*$B168+'sv07'!$Y$6*$B168^2+'sv07'!$X$6*$B168^3+'sv07'!$W$6*$B168^4+'sv07'!$V$6*$B168^5+'sv07'!$U$6*$B168^6+'sv07'!$T$6*$B168^7+'sv07'!$S$6*$B168^8</f>
        <v>-0.63805558990932398</v>
      </c>
      <c r="O168">
        <f>SQRT(($J168*1000-coord!$B$2)^2+($K168*1000-coord!$C$2)^2+($L168*1000-coord!$D$2)^2)/coord!$B$6</f>
        <v>7.1770655092936342E-2</v>
      </c>
      <c r="Q168" s="5">
        <f>'sv07'!$AA$3+'sv07'!$Z$3*($B168-$O168/3600)+'sv07'!$Y$3*($B168-$O168/3600)^2+'sv07'!$X$3*($B168-$O168/3600)^3+'sv07'!$W$3*($B168-$O168/3600)^4+'sv07'!$V$3*($B168-$O168/3600)^5+'sv07'!$U$3*($B168-$O168/3600)^6+'sv07'!$T$3*($B168-$O168/3600)^7+'sv07'!$S$3*($B168-$O168/3600)^8+K168*coord!$B$7*O168</f>
        <v>25104.215480410574</v>
      </c>
      <c r="R168" s="5">
        <f>'sv07'!$AA$4+'sv07'!$Z$4*($B168-$O168/3600)+'sv07'!$Y$4*($B168-$O168/3600)^2+'sv07'!$X$4*($B168-$O168/3600)^3+'sv07'!$W$4*($B168-$O168/3600)^4+'sv07'!$V$4*($B168-$O168/3600)^5+'sv07'!$U$4*($B168-$O168/3600)^6+'sv07'!$T$4*($B168-$O168/3600)^7+'sv07'!$S$4*($B168-$O168/3600)^8-J168*coord!$B$7*O168</f>
        <v>6518.7863653664399</v>
      </c>
      <c r="S168" s="5">
        <f>'sv07'!$AA$5+'sv07'!$Z$5*($B168-$O168/3600)+'sv07'!$Y$5*($B168-$O168/3600)^2+'sv07'!$X$5*($B168-$O168/3600)^3+'sv07'!$W$5*($B168-$O168/3600)^4+'sv07'!$V$5*($B168-$O168/3600)^5+'sv07'!$U$5*($B168-$O168/3600)^6+'sv07'!$T$5*($B168-$O168/3600)^7+'sv07'!$S$5*($B168-$O168/3600)^8</f>
        <v>6110.8868244760615</v>
      </c>
      <c r="T168">
        <f>coord!$B$6*M168/10^6</f>
        <v>-191.28425363955623</v>
      </c>
      <c r="U168">
        <f>SQRT(($Q168*1000+coord!$B$7*$O168*$R168*1000-coord!$B$2)^2+($R168*1000-coord!$B$7*$O168*$Q168*1000-coord!$C$2)^2+($S168*1000-coord!$D$2)^2)</f>
        <v>21516333.999642514</v>
      </c>
      <c r="V168" s="3">
        <f>$D168-(U168-$T168)-coord!$E$2</f>
        <v>13.267103847116232</v>
      </c>
      <c r="W168" s="3" t="s">
        <v>127</v>
      </c>
      <c r="X168" s="1" t="s">
        <v>128</v>
      </c>
      <c r="Y168">
        <f>-(Q168*1000-coord!$B$2)/$U168</f>
        <v>-0.96277262241582373</v>
      </c>
      <c r="Z168">
        <f>-(R168*1000-coord!$C$2)/$U168</f>
        <v>-0.2599985737467817</v>
      </c>
      <c r="AA168">
        <f>-(S168*1000-coord!$D$2)/$U168</f>
        <v>-7.3957698844166503E-2</v>
      </c>
      <c r="AB168">
        <v>1</v>
      </c>
      <c r="BA168">
        <f>SQRT(($Q168*1000+coord!$B$7*$O168*$R168*1000-coord!$B$2-AX$162)^2+($R168*1000-coord!$B$7*$O168*$Q168*1000-coord!$C$2-AX$163)^2+($S168*1000-coord!$D$2-AX$164)^2)</f>
        <v>21516341.674496267</v>
      </c>
      <c r="BB168" s="3">
        <f t="shared" si="33"/>
        <v>-5.1488811671779615</v>
      </c>
      <c r="BC168" s="3" t="s">
        <v>127</v>
      </c>
      <c r="BD168" s="1" t="s">
        <v>128</v>
      </c>
      <c r="BE168" s="1"/>
      <c r="BF168" s="1"/>
      <c r="CD168" s="1"/>
      <c r="CE168" s="1"/>
      <c r="CF168" s="1"/>
    </row>
    <row r="169" spans="1:108">
      <c r="V169" s="3"/>
      <c r="W169" s="3">
        <f>AVERAGE($V162:$V168)</f>
        <v>-6.6590526785169333</v>
      </c>
      <c r="X169" s="1">
        <f>SQRT(DEVSQ($V162:$V168)/6)</f>
        <v>50.152734722015254</v>
      </c>
      <c r="BB169" s="3"/>
      <c r="BC169" s="3">
        <f>AVERAGE($BB162:$BB168)</f>
        <v>1.6141895279377292E-4</v>
      </c>
      <c r="BD169" s="1">
        <f>SQRT(DEVSQ($BB162:$BB168)/6)</f>
        <v>4.8297329766566222</v>
      </c>
      <c r="BE169" s="1"/>
      <c r="BF169" s="1"/>
      <c r="CD169" s="1"/>
      <c r="CE169" s="1"/>
      <c r="CF169" s="1"/>
    </row>
    <row r="170" spans="1:108">
      <c r="A170">
        <v>46</v>
      </c>
      <c r="B170">
        <f t="shared" ref="B170:B176" si="34">(60-45)/60+30*A170/3600</f>
        <v>0.6333333333333333</v>
      </c>
      <c r="C170">
        <v>2</v>
      </c>
      <c r="D170">
        <v>22339165.609999999</v>
      </c>
      <c r="E170">
        <v>117393112.27348</v>
      </c>
      <c r="F170">
        <v>1880.7070000000001</v>
      </c>
      <c r="G170">
        <v>22339162.627</v>
      </c>
      <c r="H170">
        <v>91475141.953470007</v>
      </c>
      <c r="J170" s="5">
        <f>'sv02'!$AA$3+'sv02'!$Z$3*($B170)+'sv02'!$Y$3*($B170)^2+'sv02'!$X$3*($B170)^3+'sv02'!$W$3*($B170)^4+'sv02'!$V$3*($B170)^5+'sv02'!$U$3*($B170)^6+'sv02'!$T$3*($B170)^7+'sv02'!$S$3*($B170)^8</f>
        <v>9218.2435846338085</v>
      </c>
      <c r="K170" s="5">
        <f>'sv02'!$AA$4+'sv02'!$Z$4*($B170)+'sv02'!$Y$4*($B170)^2+'sv02'!$X$4*($B170)^3+'sv02'!$W$4*($B170)^4+'sv02'!$V$4*($B170)^5+'sv02'!$U$4*($B170)^6+'sv02'!$T$4*($B170)^7+'sv02'!$S$4*($B170)^8</f>
        <v>-14232.519420365845</v>
      </c>
      <c r="L170" s="5">
        <f>'sv02'!$AA$5+'sv02'!$Z$5*($B170)+'sv02'!$Y$5*($B170)^2+'sv02'!$X$5*($B170)^3+'sv02'!$W$5*($B170)^4+'sv02'!$V$5*($B170)^5+'sv02'!$U$5*($B170)^6+'sv02'!$T$5*($B170)^7+'sv02'!$S$5*($B170)^8</f>
        <v>20313.064736318251</v>
      </c>
      <c r="M170" s="5">
        <f>'sv02'!$AA$6+'sv02'!$Z$6*$B170+'sv02'!$Y$6*$B170^2+'sv02'!$X$6*$B170^3+'sv02'!$W$6*$B170^4+'sv02'!$V$6*$B170^5+'sv02'!$U$6*$B170^6+'sv02'!$T$6*$B170^7+'sv02'!$S$6*$B170^8</f>
        <v>257.59423228725467</v>
      </c>
      <c r="O170">
        <f>SQRT(($J170*1000-coord!$B$2)^2+($K170*1000-coord!$C$2)^2+($L170*1000-coord!$D$2)^2)/coord!$B$6</f>
        <v>7.4772990875741199E-2</v>
      </c>
      <c r="Q170" s="5">
        <f>'sv02'!$AA$3+'sv02'!$Z$3*($B170-$O170/3600)+'sv02'!$Y$3*($B170-$O170/3600)^2+'sv02'!$X$3*($B170-$O170/3600)^3+'sv02'!$W$3*($B170-$O170/3600)^4+'sv02'!$V$3*($B170-$O170/3600)^5+'sv02'!$U$3*($B170-$O170/3600)^6+'sv02'!$T$3*($B170-$O170/3600)^7+'sv02'!$S$3*($B170-$O170/3600)^8+K170*coord!$B$7*O170</f>
        <v>9217.9724373160952</v>
      </c>
      <c r="R170" s="5">
        <f>'sv02'!$AA$4+'sv02'!$Z$4*($B170-$O170/3600)+'sv02'!$Y$4*($B170-$O170/3600)^2+'sv02'!$X$4*($B170-$O170/3600)^3+'sv02'!$W$4*($B170-$O170/3600)^4+'sv02'!$V$4*($B170-$O170/3600)^5+'sv02'!$U$4*($B170-$O170/3600)^6+'sv02'!$T$4*($B170-$O170/3600)^7+'sv02'!$S$4*($B170-$O170/3600)^8-J170*coord!$B$7*O170</f>
        <v>-14232.592975805412</v>
      </c>
      <c r="S170" s="5">
        <f>'sv02'!$AA$5+'sv02'!$Z$5*($B170-$O170/3600)+'sv02'!$Y$5*($B170-$O170/3600)^2+'sv02'!$X$5*($B170-$O170/3600)^3+'sv02'!$W$5*($B170-$O170/3600)^4+'sv02'!$V$5*($B170-$O170/3600)^5+'sv02'!$U$5*($B170-$O170/3600)^6+'sv02'!$T$5*($B170-$O170/3600)^7+'sv02'!$S$5*($B170-$O170/3600)^8</f>
        <v>20313.139575350448</v>
      </c>
      <c r="T170">
        <f>coord!$B$6*M170/10^6</f>
        <v>77224.808064019046</v>
      </c>
      <c r="U170">
        <f>SQRT(($Q170*1000+coord!$B$7*$O170*$R170*1000-coord!$B$2)^2+($R170*1000-coord!$B$7*$O170*$Q170*1000-coord!$C$2)^2+($S170*1000-coord!$D$2)^2)</f>
        <v>22416440.043121513</v>
      </c>
      <c r="V170" s="3">
        <f>$D170-(U170-$T170)-coord!$E$2</f>
        <v>-49.625057496130466</v>
      </c>
      <c r="W170" s="3"/>
      <c r="Y170">
        <f>-(Q170*1000-coord!$B$2)/$U170</f>
        <v>-0.21542645742261396</v>
      </c>
      <c r="Z170">
        <f>-(R170*1000-coord!$C$2)/$U170</f>
        <v>0.67616281442763648</v>
      </c>
      <c r="AA170">
        <f>-(S170*1000-coord!$D$2)/$U170</f>
        <v>-0.70455216219297501</v>
      </c>
      <c r="AB170">
        <v>1</v>
      </c>
      <c r="AD170">
        <f t="array" ref="AD170:AJ173">TRANSPOSE(Y170:AB176)</f>
        <v>-0.21542645742261396</v>
      </c>
      <c r="AE170">
        <v>-0.14218532334909761</v>
      </c>
      <c r="AF170">
        <v>-0.18875946446647976</v>
      </c>
      <c r="AG170">
        <v>-0.86602745143052307</v>
      </c>
      <c r="AH170">
        <v>-0.41589970320382569</v>
      </c>
      <c r="AI170">
        <v>-0.43402507927398315</v>
      </c>
      <c r="AJ170">
        <v>-0.9618578605285194</v>
      </c>
      <c r="AL170">
        <f t="array" ref="AL170:AO173">MMULT(AD170:AJ173,Y170:AB176)</f>
        <v>2.1387797832147823</v>
      </c>
      <c r="AM170">
        <v>0.2440219423476028</v>
      </c>
      <c r="AN170">
        <v>1.1216908871502735</v>
      </c>
      <c r="AO170">
        <v>-3.2241813396750425</v>
      </c>
      <c r="AQ170">
        <f t="array" ref="AQ170:AT173">MINVERSE(AL170:AO173)</f>
        <v>2.6354470891395496</v>
      </c>
      <c r="AR170">
        <v>0.27704322804172626</v>
      </c>
      <c r="AS170">
        <v>1.7080133583970898</v>
      </c>
      <c r="AT170">
        <v>2.0532680709941338</v>
      </c>
      <c r="AV170">
        <f t="array" ref="AV170:AV173">MMULT(AD170:AJ173,V170:V176)</f>
        <v>7.1338060485838444</v>
      </c>
      <c r="AX170">
        <f t="array" ref="AX170:AX173">MMULT(AQ170:AT173,AV170:AV173)</f>
        <v>11.219868469744142</v>
      </c>
      <c r="BA170">
        <f>SQRT(($Q170*1000+coord!$B$7*$O170*$R170*1000-coord!$B$2-AX$170)^2+($R170*1000-coord!$B$7*$O170*$Q170*1000-coord!$C$2-AX$171)^2+($S170*1000-coord!$D$2-AX$172)^2)</f>
        <v>22416386.363811202</v>
      </c>
      <c r="BB170" s="3">
        <f>$D170-(BA170-$T170)-AX$173</f>
        <v>-6.8161308533746734</v>
      </c>
      <c r="BD170" s="1">
        <f>coord!$B$2+$AX170</f>
        <v>4388889.3906684704</v>
      </c>
      <c r="BE170" s="1">
        <f>coord!$C$2+$AX171</f>
        <v>924522.18078777089</v>
      </c>
      <c r="BF170" s="1">
        <f>coord!$D$2+$AX172</f>
        <v>4519614.9358600089</v>
      </c>
      <c r="BG170" s="1">
        <f>coord!$E$2+$AX173</f>
        <v>10.870383667876197</v>
      </c>
      <c r="BH170" s="8">
        <f>lat($BD170,$BE170,$BF170)</f>
        <v>45.411332774087043</v>
      </c>
      <c r="BI170" s="8">
        <f>lon($BD170,$BE170,$BF170)</f>
        <v>11.895476580014261</v>
      </c>
      <c r="BJ170" s="6">
        <f>h($BD170,$BE170,$BF170)</f>
        <v>81.865269470959902</v>
      </c>
      <c r="BL170">
        <f>grado($BH170)</f>
        <v>45</v>
      </c>
      <c r="BM170">
        <f>MINUTOprimo($BH170)</f>
        <v>24</v>
      </c>
      <c r="BN170">
        <f>MINUTOsecondo($BH170)</f>
        <v>40.797986713355385</v>
      </c>
      <c r="BO170">
        <f>grado($BI170)</f>
        <v>11</v>
      </c>
      <c r="BP170">
        <f>MINUTOprimo($BI170)</f>
        <v>53</v>
      </c>
      <c r="BQ170">
        <f>MINUTOsecondo($BI170)</f>
        <v>43.715688051339612</v>
      </c>
      <c r="BS170">
        <f>-SIN(RADIANS(BH170))*COS(RADIANS(BI170))</f>
        <v>-0.69687135863959992</v>
      </c>
      <c r="BT170">
        <f>-SIN(RADIANS(BI170))</f>
        <v>-0.20612693286682693</v>
      </c>
      <c r="BU170">
        <f>COS(RADIANS(BH170))*COS(RADIANS(BI170))</f>
        <v>0.68693667616070153</v>
      </c>
      <c r="BW170" t="s">
        <v>93</v>
      </c>
      <c r="BX170">
        <f t="array" ref="BX170:BZ172">MINVERSE(BS170:BU172)</f>
        <v>-0.69687135863960015</v>
      </c>
      <c r="BY170">
        <v>-0.14679636939308857</v>
      </c>
      <c r="BZ170">
        <v>0.70201220462382685</v>
      </c>
      <c r="CA170">
        <v>0</v>
      </c>
      <c r="CB170" s="1">
        <f t="array" ref="CB170:CB172">MMULT(BX170:BZ172,AX170:AX172)</f>
        <v>17.94891926522704</v>
      </c>
      <c r="CD170" s="1">
        <f t="array" ref="CD170:CF170">TRANSPOSE(CB170:CB172)</f>
        <v>17.94891926522704</v>
      </c>
      <c r="CE170" s="1">
        <v>-49.313645815526861</v>
      </c>
      <c r="CF170" s="1">
        <v>19.744302691165203</v>
      </c>
      <c r="CH170">
        <f t="array" ref="CH170:CK173">MMULT(BX170:CA173,AQ170:AT173)</f>
        <v>-0.67819031041763633</v>
      </c>
      <c r="CI170">
        <v>0.10016724161620105</v>
      </c>
      <c r="CJ170">
        <v>0.5996729442351354</v>
      </c>
      <c r="CK170">
        <v>-1.7535516405408957E-2</v>
      </c>
      <c r="CM170">
        <f t="array" ref="CM170:CP173">TRANSPOSE(BX170:CA173)</f>
        <v>-0.69687135863960015</v>
      </c>
      <c r="CN170">
        <v>-0.20612693286682698</v>
      </c>
      <c r="CO170">
        <v>0.68693667616070175</v>
      </c>
      <c r="CP170">
        <v>0</v>
      </c>
      <c r="CR170" s="5">
        <f t="array" ref="CR170:CU173">MMULT(CH170:CK173,CM170:CP173)</f>
        <v>0.87888494127134043</v>
      </c>
      <c r="CS170" s="5">
        <v>0.23780946489046031</v>
      </c>
      <c r="CT170" s="5">
        <v>-2.4313204231234398E-2</v>
      </c>
      <c r="CU170" s="5">
        <v>-1.7535516405408957E-2</v>
      </c>
      <c r="CW170" s="3">
        <f>SQRT(CR170+CS171)</f>
        <v>1.1717573961853684</v>
      </c>
      <c r="CX170" s="3">
        <f>CT172</f>
        <v>4.4378881561445844</v>
      </c>
      <c r="CY170" s="3">
        <f>CU173</f>
        <v>2.1226710465186844</v>
      </c>
      <c r="CZ170" s="3">
        <f>BB177</f>
        <v>0</v>
      </c>
      <c r="DA170">
        <v>6</v>
      </c>
      <c r="DB170" s="6">
        <f>CY170*DA170*CZ170</f>
        <v>0</v>
      </c>
      <c r="DC170">
        <v>5.33</v>
      </c>
      <c r="DD170" s="6">
        <f>CZ170*DC170*SQRT(0.5*(CR170+CS171)+SQRT((0.5*(CR170-CS171))^2+CS170^2))</f>
        <v>0</v>
      </c>
    </row>
    <row r="171" spans="1:108">
      <c r="A171">
        <v>46</v>
      </c>
      <c r="B171">
        <f t="shared" si="34"/>
        <v>0.6333333333333333</v>
      </c>
      <c r="C171">
        <v>23</v>
      </c>
      <c r="D171">
        <v>21358885.401000001</v>
      </c>
      <c r="E171">
        <v>112241695.16649</v>
      </c>
      <c r="F171">
        <v>-2119.6880000000001</v>
      </c>
      <c r="G171">
        <v>21358881.918000001</v>
      </c>
      <c r="H171">
        <v>87461046.97947</v>
      </c>
      <c r="J171" s="5">
        <f>'sv23'!$AA$3+'sv23'!$Z$3*($B171)+'sv23'!$Y$3*($B171)^2+'sv23'!$X$3*($B171)^3+'sv23'!$W$3*($B171)^4+'sv23'!$V$3*($B171)^5+'sv23'!$U$3*($B171)^6+'sv23'!$T$3*($B171)^7+'sv23'!$S$3*($B171)^8</f>
        <v>7441.3788470471954</v>
      </c>
      <c r="K171" s="5">
        <f>'sv23'!$AA$4+'sv23'!$Z$4*($B171)+'sv23'!$Y$4*($B171)^2+'sv23'!$X$4*($B171)^3+'sv23'!$W$4*($B171)^4+'sv23'!$V$4*($B171)^5+'sv23'!$U$4*($B171)^6+'sv23'!$T$4*($B171)^7+'sv23'!$S$4*($B171)^8</f>
        <v>14425.001320307676</v>
      </c>
      <c r="L171" s="5">
        <f>'sv23'!$AA$5+'sv23'!$Z$5*($B171)+'sv23'!$Y$5*($B171)^2+'sv23'!$X$5*($B171)^3+'sv23'!$W$5*($B171)^4+'sv23'!$V$5*($B171)^5+'sv23'!$U$5*($B171)^6+'sv23'!$T$5*($B171)^7+'sv23'!$S$5*($B171)^8</f>
        <v>20932.25793359409</v>
      </c>
      <c r="M171" s="5">
        <f>'sv23'!$AA$6+'sv23'!$Z$6*$B171+'sv23'!$Y$6*$B171^2+'sv23'!$X$6*$B171^3+'sv23'!$W$6*$B171^4+'sv23'!$V$6*$B171^5+'sv23'!$U$6*$B171^6+'sv23'!$T$6*$B171^7+'sv23'!$S$6*$B171^8</f>
        <v>370.05569368412557</v>
      </c>
      <c r="O171">
        <f>SQRT(($J171*1000-coord!$B$2)^2+($K171*1000-coord!$C$2)^2+($L171*1000-coord!$D$2)^2)/coord!$B$6</f>
        <v>7.1615762689584556E-2</v>
      </c>
      <c r="Q171" s="5">
        <f>'sv23'!$AA$3+'sv23'!$Z$3*($B171-$O171/3600)+'sv23'!$Y$3*($B171-$O171/3600)^2+'sv23'!$X$3*($B171-$O171/3600)^3+'sv23'!$W$3*($B171-$O171/3600)^4+'sv23'!$V$3*($B171-$O171/3600)^5+'sv23'!$U$3*($B171-$O171/3600)^6+'sv23'!$T$3*($B171-$O171/3600)^7+'sv23'!$S$3*($B171-$O171/3600)^8+K171*coord!$B$7*O171</f>
        <v>7441.5699311384178</v>
      </c>
      <c r="R171" s="5">
        <f>'sv23'!$AA$4+'sv23'!$Z$4*($B171-$O171/3600)+'sv23'!$Y$4*($B171-$O171/3600)^2+'sv23'!$X$4*($B171-$O171/3600)^3+'sv23'!$W$4*($B171-$O171/3600)^4+'sv23'!$V$4*($B171-$O171/3600)^5+'sv23'!$U$4*($B171-$O171/3600)^6+'sv23'!$T$4*($B171-$O171/3600)^7+'sv23'!$S$4*($B171-$O171/3600)^8-J171*coord!$B$7*O171</f>
        <v>14424.810196093955</v>
      </c>
      <c r="S171" s="5">
        <f>'sv23'!$AA$5+'sv23'!$Z$5*($B171-$O171/3600)+'sv23'!$Y$5*($B171-$O171/3600)^2+'sv23'!$X$5*($B171-$O171/3600)^3+'sv23'!$W$5*($B171-$O171/3600)^4+'sv23'!$V$5*($B171-$O171/3600)^5+'sv23'!$U$5*($B171-$O171/3600)^6+'sv23'!$T$5*($B171-$O171/3600)^7+'sv23'!$S$5*($B171-$O171/3600)^8</f>
        <v>20932.323846503965</v>
      </c>
      <c r="T171">
        <f>coord!$B$6*M171/10^6</f>
        <v>110939.90600645907</v>
      </c>
      <c r="U171">
        <f>SQRT(($Q171*1000+coord!$B$7*$O171*$R171*1000-coord!$B$2)^2+($R171*1000-coord!$B$7*$O171*$Q171*1000-coord!$C$2)^2+($S171*1000-coord!$D$2)^2)</f>
        <v>21469809.178851448</v>
      </c>
      <c r="V171" s="3">
        <f>$D171-(U171-$T171)-coord!$E$2</f>
        <v>16.128155011683702</v>
      </c>
      <c r="W171" s="3"/>
      <c r="Y171">
        <f>-(Q171*1000-coord!$B$2)/$U171</f>
        <v>-0.14218532334909761</v>
      </c>
      <c r="Z171">
        <f>-(R171*1000-coord!$C$2)/$U171</f>
        <v>-0.62880111650885973</v>
      </c>
      <c r="AA171">
        <f>-(S171*1000-coord!$D$2)/$U171</f>
        <v>-0.76445651824288752</v>
      </c>
      <c r="AB171">
        <v>1</v>
      </c>
      <c r="AD171">
        <v>0.67616281442763648</v>
      </c>
      <c r="AE171">
        <v>-0.62880111650885973</v>
      </c>
      <c r="AF171">
        <v>0.71199217813534499</v>
      </c>
      <c r="AG171">
        <v>0.36020198328516934</v>
      </c>
      <c r="AH171">
        <v>-0.90826537454875067</v>
      </c>
      <c r="AI171">
        <v>-0.2719598407644267</v>
      </c>
      <c r="AJ171">
        <v>-0.26078113929568264</v>
      </c>
      <c r="AL171">
        <v>0.2440219423476028</v>
      </c>
      <c r="AM171">
        <v>2.4561802744311225</v>
      </c>
      <c r="AN171">
        <v>-0.38849285804617006</v>
      </c>
      <c r="AO171">
        <v>-0.32145049526956887</v>
      </c>
      <c r="AQ171">
        <v>0.2770432280417261</v>
      </c>
      <c r="AR171">
        <v>0.51583100985367314</v>
      </c>
      <c r="AS171">
        <v>0.525564725770163</v>
      </c>
      <c r="AT171">
        <v>0.40566257473460621</v>
      </c>
      <c r="AV171">
        <v>-129.09048521543906</v>
      </c>
      <c r="AX171">
        <v>-48.032412229071006</v>
      </c>
      <c r="BA171">
        <f>SQRT(($Q171*1000+coord!$B$7*$O171*$R171*1000-coord!$B$2-AX$170)^2+($R171*1000-coord!$B$7*$O171*$Q171*1000-coord!$C$2-AX$171)^2+($S171*1000-coord!$D$2-AX$172)^2)</f>
        <v>21469817.404727254</v>
      </c>
      <c r="BB171" s="3">
        <f t="shared" ref="BB171:BB176" si="35">$D171-(BA171-$T171)-AX$173</f>
        <v>-2.9681044622559085</v>
      </c>
      <c r="BD171" s="1"/>
      <c r="BE171" s="1"/>
      <c r="BF171" s="1"/>
      <c r="BS171">
        <f>-SIN(RADIANS(BH170))*SIN(RADIANS(BI170))</f>
        <v>-0.14679636939308854</v>
      </c>
      <c r="BT171">
        <f>COS(RADIANS(BI170))</f>
        <v>0.97852526157831743</v>
      </c>
      <c r="BU171">
        <f>COS(RADIANS(BH170))*SIN(RADIANS(BI170))</f>
        <v>0.14470362257418876</v>
      </c>
      <c r="BW171" t="s">
        <v>94</v>
      </c>
      <c r="BX171">
        <v>-0.20612693286682698</v>
      </c>
      <c r="BY171">
        <v>0.97852526157831754</v>
      </c>
      <c r="BZ171">
        <v>-2.8364700131359323E-17</v>
      </c>
      <c r="CA171">
        <v>0</v>
      </c>
      <c r="CB171" s="1">
        <v>-49.313645815526861</v>
      </c>
      <c r="CD171" s="1"/>
      <c r="CE171" s="1"/>
      <c r="CF171" s="1"/>
      <c r="CH171">
        <v>-0.27214282802911111</v>
      </c>
      <c r="CI171">
        <v>0.44764760297950723</v>
      </c>
      <c r="CJ171">
        <v>0.16221080589862483</v>
      </c>
      <c r="CK171">
        <v>-2.6282772772692867E-2</v>
      </c>
      <c r="CM171">
        <v>-0.14679636939308857</v>
      </c>
      <c r="CN171">
        <v>0.97852526157831754</v>
      </c>
      <c r="CO171">
        <v>0.14470362257418876</v>
      </c>
      <c r="CP171">
        <v>0</v>
      </c>
      <c r="CR171" s="5">
        <v>0.23780946489046056</v>
      </c>
      <c r="CS171" s="5">
        <v>0.49413045424377416</v>
      </c>
      <c r="CT171" s="5">
        <v>-6.6478153265908529E-3</v>
      </c>
      <c r="CU171" s="5">
        <v>-2.6282772772692867E-2</v>
      </c>
    </row>
    <row r="172" spans="1:108">
      <c r="A172">
        <v>46</v>
      </c>
      <c r="B172">
        <f t="shared" si="34"/>
        <v>0.6333333333333333</v>
      </c>
      <c r="C172">
        <v>10</v>
      </c>
      <c r="D172">
        <v>22552163.162</v>
      </c>
      <c r="E172">
        <v>118512422.34248</v>
      </c>
      <c r="F172">
        <v>2910.4209999999998</v>
      </c>
      <c r="G172">
        <v>22552162.813999999</v>
      </c>
      <c r="H172">
        <v>92347346.207460001</v>
      </c>
      <c r="J172" s="5">
        <f>'sv10'!$AA$3+'sv10'!$Z$3*($B172)+'sv10'!$Y$3*($B172)^2+'sv10'!$X$3*($B172)^3+'sv10'!$W$3*($B172)^4+'sv10'!$V$3*($B172)^5+'sv10'!$U$3*($B172)^6+'sv10'!$T$3*($B172)^7+'sv10'!$S$3*($B172)^8</f>
        <v>8643.5568942772315</v>
      </c>
      <c r="K172" s="5">
        <f>'sv10'!$AA$4+'sv10'!$Z$4*($B172)+'sv10'!$Y$4*($B172)^2+'sv10'!$X$4*($B172)^3+'sv10'!$W$4*($B172)^4+'sv10'!$V$4*($B172)^5+'sv10'!$U$4*($B172)^6+'sv10'!$T$4*($B172)^7+'sv10'!$S$4*($B172)^8</f>
        <v>-15123.022925511024</v>
      </c>
      <c r="L172" s="5">
        <f>'sv10'!$AA$5+'sv10'!$Z$5*($B172)+'sv10'!$Y$5*($B172)^2+'sv10'!$X$5*($B172)^3+'sv10'!$W$5*($B172)^4+'sv10'!$V$5*($B172)^5+'sv10'!$U$5*($B172)^6+'sv10'!$T$5*($B172)^7+'sv10'!$S$5*($B172)^8</f>
        <v>19763.913464705442</v>
      </c>
      <c r="M172" s="5">
        <f>'sv10'!$AA$6+'sv10'!$Z$6*$B172+'sv10'!$Y$6*$B172^2+'sv10'!$X$6*$B172^3+'sv10'!$W$6*$B172^4+'sv10'!$V$6*$B172^5+'sv10'!$U$6*$B172^6+'sv10'!$T$6*$B172^7+'sv10'!$S$6*$B172^8</f>
        <v>-43.001907554850895</v>
      </c>
      <c r="O172">
        <f>SQRT(($J172*1000-coord!$B$2)^2+($K172*1000-coord!$C$2)^2+($L172*1000-coord!$D$2)^2)/coord!$B$6</f>
        <v>7.5182785873433133E-2</v>
      </c>
      <c r="Q172" s="5">
        <f>'sv10'!$AA$3+'sv10'!$Z$3*($B172-$O172/3600)+'sv10'!$Y$3*($B172-$O172/3600)^2+'sv10'!$X$3*($B172-$O172/3600)^3+'sv10'!$W$3*($B172-$O172/3600)^4+'sv10'!$V$3*($B172-$O172/3600)^5+'sv10'!$U$3*($B172-$O172/3600)^6+'sv10'!$T$3*($B172-$O172/3600)^7+'sv10'!$S$3*($B172-$O172/3600)^8+K172*coord!$B$7*O172</f>
        <v>8643.3862601249257</v>
      </c>
      <c r="R172" s="5">
        <f>'sv10'!$AA$4+'sv10'!$Z$4*($B172-$O172/3600)+'sv10'!$Y$4*($B172-$O172/3600)^2+'sv10'!$X$4*($B172-$O172/3600)^3+'sv10'!$W$4*($B172-$O172/3600)^4+'sv10'!$V$4*($B172-$O172/3600)^5+'sv10'!$U$4*($B172-$O172/3600)^6+'sv10'!$T$4*($B172-$O172/3600)^7+'sv10'!$S$4*($B172-$O172/3600)^8-J172*coord!$B$7*O172</f>
        <v>-15123.242223515326</v>
      </c>
      <c r="S172" s="5">
        <f>'sv10'!$AA$5+'sv10'!$Z$5*($B172-$O172/3600)+'sv10'!$Y$5*($B172-$O172/3600)^2+'sv10'!$X$5*($B172-$O172/3600)^3+'sv10'!$W$5*($B172-$O172/3600)^4+'sv10'!$V$5*($B172-$O172/3600)^5+'sv10'!$U$5*($B172-$O172/3600)^6+'sv10'!$T$5*($B172-$O172/3600)^7+'sv10'!$S$5*($B172-$O172/3600)^8</f>
        <v>19763.818586069134</v>
      </c>
      <c r="T172">
        <f>coord!$B$6*M172/10^6</f>
        <v>-12891.647564557519</v>
      </c>
      <c r="U172">
        <f>SQRT(($Q172*1000+coord!$B$7*$O172*$R172*1000-coord!$B$2)^2+($R172*1000-coord!$B$7*$O172*$Q172*1000-coord!$C$2)^2+($S172*1000-coord!$D$2)^2)</f>
        <v>22539310.022679411</v>
      </c>
      <c r="V172" s="3">
        <f>$D172-(U172-$T172)-coord!$E$2</f>
        <v>-38.508243966847658</v>
      </c>
      <c r="W172" s="3"/>
      <c r="Y172">
        <f>-(Q172*1000-coord!$B$2)/$U172</f>
        <v>-0.18875946446647976</v>
      </c>
      <c r="Z172">
        <f>-(R172*1000-coord!$C$2)/$U172</f>
        <v>0.71199217813534499</v>
      </c>
      <c r="AA172">
        <f>-(S172*1000-coord!$D$2)/$U172</f>
        <v>-0.67633970589295533</v>
      </c>
      <c r="AB172">
        <v>1</v>
      </c>
      <c r="AD172">
        <v>-0.70455216219297501</v>
      </c>
      <c r="AE172">
        <v>-0.76445651824288752</v>
      </c>
      <c r="AF172">
        <v>-0.67633970589295533</v>
      </c>
      <c r="AG172">
        <v>-0.34677056677990292</v>
      </c>
      <c r="AH172">
        <v>4.5642068323725762E-2</v>
      </c>
      <c r="AI172">
        <v>-0.85887162079217205</v>
      </c>
      <c r="AJ172">
        <v>-8.2600106850416952E-2</v>
      </c>
      <c r="AL172">
        <v>1.1216908871502735</v>
      </c>
      <c r="AM172">
        <v>-0.38849285804617006</v>
      </c>
      <c r="AN172">
        <v>2.4050391783417999</v>
      </c>
      <c r="AO172">
        <v>-3.3879486124275835</v>
      </c>
      <c r="AQ172">
        <v>1.7080133583970902</v>
      </c>
      <c r="AR172">
        <v>0.525564725770163</v>
      </c>
      <c r="AS172">
        <v>2.6596254526664755</v>
      </c>
      <c r="AT172">
        <v>2.0980803144847293</v>
      </c>
      <c r="AV172">
        <v>58.539268438010566</v>
      </c>
      <c r="AX172">
        <v>26.661560009636588</v>
      </c>
      <c r="BA172">
        <f>SQRT(($Q172*1000+coord!$B$7*$O172*$R172*1000-coord!$B$2-AX$170)^2+($R172*1000-coord!$B$7*$O172*$Q172*1000-coord!$C$2-AX$171)^2+($S172*1000-coord!$D$2-AX$172)^2)</f>
        <v>22539255.673794091</v>
      </c>
      <c r="BB172" s="3">
        <f t="shared" si="35"/>
        <v>4.9702576854031548</v>
      </c>
      <c r="BD172" s="1"/>
      <c r="BE172" s="1"/>
      <c r="BF172" s="1"/>
      <c r="BS172">
        <f>COS(RADIANS(BH170))</f>
        <v>0.70201220462382696</v>
      </c>
      <c r="BT172">
        <v>0</v>
      </c>
      <c r="BU172">
        <f>SIN(RADIANS(BH170))</f>
        <v>0.71216491387823511</v>
      </c>
      <c r="BW172" t="s">
        <v>95</v>
      </c>
      <c r="BX172">
        <v>0.68693667616070175</v>
      </c>
      <c r="BY172">
        <v>0.14470362257418876</v>
      </c>
      <c r="BZ172">
        <v>0.71216491387823522</v>
      </c>
      <c r="CA172">
        <v>0</v>
      </c>
      <c r="CB172" s="1">
        <v>19.744302691165203</v>
      </c>
      <c r="CD172" s="1"/>
      <c r="CE172" s="1"/>
      <c r="CF172" s="1"/>
      <c r="CH172">
        <v>3.0668616086039426</v>
      </c>
      <c r="CI172">
        <v>0.63924252765128975</v>
      </c>
      <c r="CJ172">
        <v>3.1434400704181096</v>
      </c>
      <c r="CK172">
        <v>2.963345174537114</v>
      </c>
      <c r="CM172">
        <v>0.70201220462382685</v>
      </c>
      <c r="CN172">
        <v>-2.8364700131359323E-17</v>
      </c>
      <c r="CO172">
        <v>0.71216491387823522</v>
      </c>
      <c r="CP172">
        <v>0</v>
      </c>
      <c r="CR172" s="5">
        <v>-2.4313204231234842E-2</v>
      </c>
      <c r="CS172" s="5">
        <v>-6.6478153265908451E-3</v>
      </c>
      <c r="CT172" s="5">
        <v>4.4378881561445844</v>
      </c>
      <c r="CU172" s="5">
        <v>2.963345174537114</v>
      </c>
    </row>
    <row r="173" spans="1:108">
      <c r="A173">
        <v>46</v>
      </c>
      <c r="B173">
        <f t="shared" si="34"/>
        <v>0.6333333333333333</v>
      </c>
      <c r="C173">
        <v>4</v>
      </c>
      <c r="D173">
        <v>21299869.977000002</v>
      </c>
      <c r="E173">
        <v>111931568.51749</v>
      </c>
      <c r="F173">
        <v>-1373.633</v>
      </c>
      <c r="G173">
        <v>21299869.445999999</v>
      </c>
      <c r="H173">
        <v>87219400.334480003</v>
      </c>
      <c r="J173" s="5">
        <f>'sv04'!$AA$3+'sv04'!$Z$3*($B173)+'sv04'!$Y$3*($B173)^2+'sv04'!$X$3*($B173)^3+'sv04'!$W$3*($B173)^4+'sv04'!$V$3*($B173)^5+'sv04'!$U$3*($B173)^6+'sv04'!$T$3*($B173)^7+'sv04'!$S$3*($B173)^8</f>
        <v>22857.796410248986</v>
      </c>
      <c r="K173" s="5">
        <f>'sv04'!$AA$4+'sv04'!$Z$4*($B173)+'sv04'!$Y$4*($B173)^2+'sv04'!$X$4*($B173)^3+'sv04'!$W$4*($B173)^4+'sv04'!$V$4*($B173)^5+'sv04'!$U$4*($B173)^6+'sv04'!$T$4*($B173)^7+'sv04'!$S$4*($B173)^8</f>
        <v>-6756.8981419439506</v>
      </c>
      <c r="L173" s="5">
        <f>'sv04'!$AA$5+'sv04'!$Z$5*($B173)+'sv04'!$Y$5*($B173)^2+'sv04'!$X$5*($B173)^3+'sv04'!$W$5*($B173)^4+'sv04'!$V$5*($B173)^5+'sv04'!$U$5*($B173)^6+'sv04'!$T$5*($B173)^7+'sv04'!$S$5*($B173)^8</f>
        <v>11914.583800549384</v>
      </c>
      <c r="M173" s="5">
        <f>'sv04'!$AA$6+'sv04'!$Z$6*$B173+'sv04'!$Y$6*$B173^2+'sv04'!$X$6*$B173^3+'sv04'!$W$6*$B173^4+'sv04'!$V$6*$B173^5+'sv04'!$U$6*$B173^6+'sv04'!$T$6*$B173^7+'sv04'!$S$6*$B173^8</f>
        <v>86.606200403646042</v>
      </c>
      <c r="O173">
        <f>SQRT(($J173*1000-coord!$B$2)^2+($K173*1000-coord!$C$2)^2+($L173*1000-coord!$D$2)^2)/coord!$B$6</f>
        <v>7.1135376846904436E-2</v>
      </c>
      <c r="Q173" s="5">
        <f>'sv04'!$AA$3+'sv04'!$Z$3*($B173-$O173/3600)+'sv04'!$Y$3*($B173-$O173/3600)^2+'sv04'!$X$3*($B173-$O173/3600)^3+'sv04'!$W$3*($B173-$O173/3600)^4+'sv04'!$V$3*($B173-$O173/3600)^5+'sv04'!$U$3*($B173-$O173/3600)^6+'sv04'!$T$3*($B173-$O173/3600)^7+'sv04'!$S$3*($B173-$O173/3600)^8+K173*coord!$B$7*O173</f>
        <v>22857.654546506335</v>
      </c>
      <c r="R173" s="5">
        <f>'sv04'!$AA$4+'sv04'!$Z$4*($B173-$O173/3600)+'sv04'!$Y$4*($B173-$O173/3600)^2+'sv04'!$X$4*($B173-$O173/3600)^3+'sv04'!$W$4*($B173-$O173/3600)^4+'sv04'!$V$4*($B173-$O173/3600)^5+'sv04'!$U$4*($B173-$O173/3600)^6+'sv04'!$T$4*($B173-$O173/3600)^7+'sv04'!$S$4*($B173-$O173/3600)^8-J173*coord!$B$7*O173</f>
        <v>-6757.045269532071</v>
      </c>
      <c r="S173" s="5">
        <f>'sv04'!$AA$5+'sv04'!$Z$5*($B173-$O173/3600)+'sv04'!$Y$5*($B173-$O173/3600)^2+'sv04'!$X$5*($B173-$O173/3600)^3+'sv04'!$W$5*($B173-$O173/3600)^4+'sv04'!$V$5*($B173-$O173/3600)^5+'sv04'!$U$5*($B173-$O173/3600)^6+'sv04'!$T$5*($B173-$O173/3600)^7+'sv04'!$S$5*($B173-$O173/3600)^8</f>
        <v>11914.767308123919</v>
      </c>
      <c r="T173">
        <f>coord!$B$6*M173/10^6</f>
        <v>25963.885697049642</v>
      </c>
      <c r="U173">
        <f>SQRT(($Q173*1000+coord!$B$7*$O173*$R173*1000-coord!$B$2)^2+($R173*1000-coord!$B$7*$O173*$Q173*1000-coord!$C$2)^2+($S173*1000-coord!$D$2)^2)</f>
        <v>21325855.600996487</v>
      </c>
      <c r="V173" s="3">
        <f>$D173-(U173-$T173)-coord!$E$2</f>
        <v>-21.738299436867237</v>
      </c>
      <c r="W173" s="3"/>
      <c r="Y173">
        <f>-(Q173*1000-coord!$B$2)/$U173</f>
        <v>-0.86602745143052307</v>
      </c>
      <c r="Z173">
        <f>-(R173*1000-coord!$C$2)/$U173</f>
        <v>0.36020198328516934</v>
      </c>
      <c r="AA173">
        <f>-(S173*1000-coord!$D$2)/$U173</f>
        <v>-0.34677056677990292</v>
      </c>
      <c r="AB173">
        <v>1</v>
      </c>
      <c r="AD173">
        <v>1</v>
      </c>
      <c r="AE173">
        <v>1</v>
      </c>
      <c r="AF173">
        <v>1</v>
      </c>
      <c r="AG173">
        <v>1</v>
      </c>
      <c r="AH173">
        <v>1</v>
      </c>
      <c r="AI173">
        <v>1</v>
      </c>
      <c r="AJ173">
        <v>1</v>
      </c>
      <c r="AL173">
        <v>-3.2241813396750425</v>
      </c>
      <c r="AM173">
        <v>-0.32145049526956887</v>
      </c>
      <c r="AN173">
        <v>-3.3879486124275835</v>
      </c>
      <c r="AO173">
        <v>7</v>
      </c>
      <c r="AQ173">
        <v>2.0532680709941333</v>
      </c>
      <c r="AR173">
        <v>0.40566257473460621</v>
      </c>
      <c r="AS173">
        <v>2.0980803144847289</v>
      </c>
      <c r="AT173">
        <v>2.1226710465186844</v>
      </c>
      <c r="AV173">
        <v>-34.970157418400049</v>
      </c>
      <c r="AX173">
        <v>10.870383667876197</v>
      </c>
      <c r="BA173">
        <f>SQRT(($Q173*1000+coord!$B$7*$O173*$R173*1000-coord!$B$2-AX$170)^2+($R173*1000-coord!$B$7*$O173*$Q173*1000-coord!$C$2-AX$171)^2+($S173*1000-coord!$D$2-AX$172)^2)</f>
        <v>21325819.337262232</v>
      </c>
      <c r="BB173" s="3">
        <f t="shared" si="35"/>
        <v>3.6550511502426133</v>
      </c>
      <c r="BD173" s="1"/>
      <c r="BE173" s="1"/>
      <c r="BF173" s="1"/>
      <c r="BX173">
        <v>0</v>
      </c>
      <c r="BY173">
        <v>0</v>
      </c>
      <c r="BZ173">
        <v>0</v>
      </c>
      <c r="CA173">
        <v>1</v>
      </c>
      <c r="CD173" s="1"/>
      <c r="CE173" s="1"/>
      <c r="CF173" s="1"/>
      <c r="CH173">
        <v>2.0532680709941333</v>
      </c>
      <c r="CI173">
        <v>0.40566257473460621</v>
      </c>
      <c r="CJ173">
        <v>2.0980803144847289</v>
      </c>
      <c r="CK173">
        <v>2.1226710465186844</v>
      </c>
      <c r="CM173">
        <v>0</v>
      </c>
      <c r="CN173">
        <v>0</v>
      </c>
      <c r="CO173">
        <v>0</v>
      </c>
      <c r="CP173">
        <v>1</v>
      </c>
      <c r="CR173" s="5">
        <v>-1.7535516405408735E-2</v>
      </c>
      <c r="CS173" s="5">
        <v>-2.6282772772692812E-2</v>
      </c>
      <c r="CT173" s="5">
        <v>2.9633451745371135</v>
      </c>
      <c r="CU173" s="5">
        <v>2.1226710465186844</v>
      </c>
    </row>
    <row r="174" spans="1:108">
      <c r="A174">
        <v>46</v>
      </c>
      <c r="B174">
        <f t="shared" si="34"/>
        <v>0.6333333333333333</v>
      </c>
      <c r="C174">
        <v>20</v>
      </c>
      <c r="D174">
        <v>23436312.306000002</v>
      </c>
      <c r="E174">
        <v>123158644.70047</v>
      </c>
      <c r="F174">
        <v>-3199.105</v>
      </c>
      <c r="G174">
        <v>23436312.050000001</v>
      </c>
      <c r="H174">
        <v>95967768.08845</v>
      </c>
      <c r="J174" s="5">
        <f>'sv20'!$AA$3+'sv20'!$Z$3*($B174)+'sv20'!$Y$3*($B174)^2+'sv20'!$X$3*($B174)^3+'sv20'!$W$3*($B174)^4+'sv20'!$V$3*($B174)^5+'sv20'!$U$3*($B174)^6+'sv20'!$T$3*($B174)^7+'sv20'!$S$3*($B174)^8</f>
        <v>14142.835763179957</v>
      </c>
      <c r="K174" s="5">
        <f>'sv20'!$AA$4+'sv20'!$Z$4*($B174)+'sv20'!$Y$4*($B174)^2+'sv20'!$X$4*($B174)^3+'sv20'!$W$4*($B174)^4+'sv20'!$V$4*($B174)^5+'sv20'!$U$4*($B174)^6+'sv20'!$T$4*($B174)^7+'sv20'!$S$4*($B174)^8</f>
        <v>22226.235732222169</v>
      </c>
      <c r="L174" s="5">
        <f>'sv20'!$AA$5+'sv20'!$Z$5*($B174)+'sv20'!$Y$5*($B174)^2+'sv20'!$X$5*($B174)^3+'sv20'!$W$5*($B174)^4+'sv20'!$V$5*($B174)^5+'sv20'!$U$5*($B174)^6+'sv20'!$T$5*($B174)^7+'sv20'!$S$5*($B174)^8</f>
        <v>3448.9043219192868</v>
      </c>
      <c r="M174" s="5">
        <f>'sv20'!$AA$6+'sv20'!$Z$6*$B174+'sv20'!$Y$6*$B174^2+'sv20'!$X$6*$B174^3+'sv20'!$W$6*$B174^4+'sv20'!$V$6*$B174^5+'sv20'!$U$6*$B174^6+'sv20'!$T$6*$B174^7+'sv20'!$S$6*$B174^8</f>
        <v>55.817582929779242</v>
      </c>
      <c r="O174">
        <f>SQRT(($J174*1000-coord!$B$2)^2+($K174*1000-coord!$C$2)^2+($L174*1000-coord!$D$2)^2)/coord!$B$6</f>
        <v>7.8231057315092487E-2</v>
      </c>
      <c r="Q174" s="5">
        <f>'sv20'!$AA$3+'sv20'!$Z$3*($B174-$O174/3600)+'sv20'!$Y$3*($B174-$O174/3600)^2+'sv20'!$X$3*($B174-$O174/3600)^3+'sv20'!$W$3*($B174-$O174/3600)^4+'sv20'!$V$3*($B174-$O174/3600)^5+'sv20'!$U$3*($B174-$O174/3600)^6+'sv20'!$T$3*($B174-$O174/3600)^7+'sv20'!$S$3*($B174-$O174/3600)^8+K174*coord!$B$7*O174</f>
        <v>14142.970671502191</v>
      </c>
      <c r="R174" s="5">
        <f>'sv20'!$AA$4+'sv20'!$Z$4*($B174-$O174/3600)+'sv20'!$Y$4*($B174-$O174/3600)^2+'sv20'!$X$4*($B174-$O174/3600)^3+'sv20'!$W$4*($B174-$O174/3600)^4+'sv20'!$V$4*($B174-$O174/3600)^5+'sv20'!$U$4*($B174-$O174/3600)^6+'sv20'!$T$4*($B174-$O174/3600)^7+'sv20'!$S$4*($B174-$O174/3600)^8-J174*coord!$B$7*O174</f>
        <v>22226.110969990666</v>
      </c>
      <c r="S174" s="5">
        <f>'sv20'!$AA$5+'sv20'!$Z$5*($B174-$O174/3600)+'sv20'!$Y$5*($B174-$O174/3600)^2+'sv20'!$X$5*($B174-$O174/3600)^3+'sv20'!$W$5*($B174-$O174/3600)^4+'sv20'!$V$5*($B174-$O174/3600)^5+'sv20'!$U$5*($B174-$O174/3600)^6+'sv20'!$T$5*($B174-$O174/3600)^7+'sv20'!$S$5*($B174-$O174/3600)^8</f>
        <v>3449.1452013103403</v>
      </c>
      <c r="T174">
        <f>coord!$B$6*M174/10^6</f>
        <v>16733.690386137361</v>
      </c>
      <c r="U174">
        <f>SQRT(($Q174*1000+coord!$B$7*$O174*$R174*1000-coord!$B$2)^2+($R174*1000-coord!$B$7*$O174*$Q174*1000-coord!$C$2)^2+($S174*1000-coord!$D$2)^2)</f>
        <v>23452992.21317758</v>
      </c>
      <c r="V174" s="3">
        <f>$D174-(U174-$T174)-coord!$E$2</f>
        <v>53.783208560198545</v>
      </c>
      <c r="W174" s="3"/>
      <c r="Y174">
        <f>-(Q174*1000-coord!$B$2)/$U174</f>
        <v>-0.41589970320382569</v>
      </c>
      <c r="Z174">
        <f>-(R174*1000-coord!$C$2)/$U174</f>
        <v>-0.90826537454875067</v>
      </c>
      <c r="AA174">
        <f>-(S174*1000-coord!$D$2)/$U174</f>
        <v>4.5642068323725762E-2</v>
      </c>
      <c r="AB174">
        <v>1</v>
      </c>
      <c r="BA174">
        <f>SQRT(($Q174*1000+coord!$B$7*$O174*$R174*1000-coord!$B$2-AX$170)^2+($R174*1000-coord!$B$7*$O174*$Q174*1000-coord!$C$2-AX$171)^2+($S174*1000-coord!$D$2-AX$172)^2)</f>
        <v>23453032.389709957</v>
      </c>
      <c r="BB174" s="3">
        <f t="shared" si="35"/>
        <v>2.7362925157647595</v>
      </c>
      <c r="BD174" s="1"/>
      <c r="BE174" s="1"/>
      <c r="BF174" s="1"/>
      <c r="CD174" s="1"/>
      <c r="CE174" s="1"/>
      <c r="CF174" s="1"/>
    </row>
    <row r="175" spans="1:108">
      <c r="A175">
        <v>46</v>
      </c>
      <c r="B175">
        <f t="shared" si="34"/>
        <v>0.6333333333333333</v>
      </c>
      <c r="C175">
        <v>13</v>
      </c>
      <c r="D175">
        <v>20239229.506000001</v>
      </c>
      <c r="E175">
        <v>106357866.50449</v>
      </c>
      <c r="F175">
        <v>-959.94799999999998</v>
      </c>
      <c r="G175">
        <v>20239227.449000001</v>
      </c>
      <c r="H175">
        <v>82876251.410479993</v>
      </c>
      <c r="J175" s="5">
        <f>'sv13'!$AA$3+'sv13'!$Z$3*($B175)+'sv13'!$Y$3*($B175)^2+'sv13'!$X$3*($B175)^3+'sv13'!$W$3*($B175)^4+'sv13'!$V$3*($B175)^5+'sv13'!$U$3*($B175)^6+'sv13'!$T$3*($B175)^7+'sv13'!$S$3*($B175)^8</f>
        <v>13212.645313431405</v>
      </c>
      <c r="K175" s="5">
        <f>'sv13'!$AA$4+'sv13'!$Z$4*($B175)+'sv13'!$Y$4*($B175)^2+'sv13'!$X$4*($B175)^3+'sv13'!$W$4*($B175)^4+'sv13'!$V$4*($B175)^5+'sv13'!$U$4*($B175)^6+'sv13'!$T$4*($B175)^7+'sv13'!$S$4*($B175)^8</f>
        <v>6453.8464752483042</v>
      </c>
      <c r="L175" s="5">
        <f>'sv13'!$AA$5+'sv13'!$Z$5*($B175)+'sv13'!$Y$5*($B175)^2+'sv13'!$X$5*($B175)^3+'sv13'!$W$5*($B175)^4+'sv13'!$V$5*($B175)^5+'sv13'!$U$5*($B175)^6+'sv13'!$T$5*($B175)^7+'sv13'!$S$5*($B175)^8</f>
        <v>21980.84666199503</v>
      </c>
      <c r="M175" s="5">
        <f>'sv13'!$AA$6+'sv13'!$Z$6*$B175+'sv13'!$Y$6*$B175^2+'sv13'!$X$6*$B175^3+'sv13'!$W$6*$B175^4+'sv13'!$V$6*$B175^5+'sv13'!$U$6*$B175^6+'sv13'!$T$6*$B175^7+'sv13'!$S$6*$B175^8</f>
        <v>304.21916336682546</v>
      </c>
      <c r="O175">
        <f>SQRT(($J175*1000-coord!$B$2)^2+($K175*1000-coord!$C$2)^2+($L175*1000-coord!$D$2)^2)/coord!$B$6</f>
        <v>6.7815090603721859E-2</v>
      </c>
      <c r="Q175" s="5">
        <f>'sv13'!$AA$3+'sv13'!$Z$3*($B175-$O175/3600)+'sv13'!$Y$3*($B175-$O175/3600)^2+'sv13'!$X$3*($B175-$O175/3600)^3+'sv13'!$W$3*($B175-$O175/3600)^4+'sv13'!$V$3*($B175-$O175/3600)^5+'sv13'!$U$3*($B175-$O175/3600)^6+'sv13'!$T$3*($B175-$O175/3600)^7+'sv13'!$S$3*($B175-$O175/3600)^8+K175*coord!$B$7*O175</f>
        <v>13212.7957383047</v>
      </c>
      <c r="R175" s="5">
        <f>'sv13'!$AA$4+'sv13'!$Z$4*($B175-$O175/3600)+'sv13'!$Y$4*($B175-$O175/3600)^2+'sv13'!$X$4*($B175-$O175/3600)^3+'sv13'!$W$4*($B175-$O175/3600)^4+'sv13'!$V$4*($B175-$O175/3600)^5+'sv13'!$U$4*($B175-$O175/3600)^6+'sv13'!$T$4*($B175-$O175/3600)^7+'sv13'!$S$4*($B175-$O175/3600)^8-J175*coord!$B$7*O175</f>
        <v>6453.6313923171074</v>
      </c>
      <c r="S175" s="5">
        <f>'sv13'!$AA$5+'sv13'!$Z$5*($B175-$O175/3600)+'sv13'!$Y$5*($B175-$O175/3600)^2+'sv13'!$X$5*($B175-$O175/3600)^3+'sv13'!$W$5*($B175-$O175/3600)^4+'sv13'!$V$5*($B175-$O175/3600)^5+'sv13'!$U$5*($B175-$O175/3600)^6+'sv13'!$T$5*($B175-$O175/3600)^7+'sv13'!$S$5*($B175-$O175/3600)^8</f>
        <v>21980.819767227618</v>
      </c>
      <c r="T175">
        <f>coord!$B$6*M175/10^6</f>
        <v>91202.610756444148</v>
      </c>
      <c r="U175">
        <f>SQRT(($Q175*1000+coord!$B$7*$O175*$R175*1000-coord!$B$2)^2+($R175*1000-coord!$B$7*$O175*$Q175*1000-coord!$C$2)^2+($S175*1000-coord!$D$2)^2)</f>
        <v>20330432.477000948</v>
      </c>
      <c r="V175" s="3">
        <f>$D175-(U175-$T175)-coord!$E$2</f>
        <v>-0.3602445013821125</v>
      </c>
      <c r="W175" s="3"/>
      <c r="Y175">
        <f>-(Q175*1000-coord!$B$2)/$U175</f>
        <v>-0.43402507927398315</v>
      </c>
      <c r="Z175">
        <f>-(R175*1000-coord!$C$2)/$U175</f>
        <v>-0.2719598407644267</v>
      </c>
      <c r="AA175">
        <f>-(S175*1000-coord!$D$2)/$U175</f>
        <v>-0.85887162079217205</v>
      </c>
      <c r="AB175">
        <v>1</v>
      </c>
      <c r="BA175">
        <f>SQRT(($Q175*1000+coord!$B$7*$O175*$R175*1000-coord!$B$2-AX$170)^2+($R175*1000-coord!$B$7*$O175*$Q175*1000-coord!$C$2-AX$171)^2+($S175*1000-coord!$D$2-AX$172)^2)</f>
        <v>20330417.771226585</v>
      </c>
      <c r="BB175" s="3">
        <f t="shared" si="35"/>
        <v>3.4751461938720212</v>
      </c>
      <c r="BD175" s="1"/>
      <c r="BE175" s="1"/>
      <c r="BF175" s="1"/>
      <c r="CD175" s="1"/>
      <c r="CE175" s="1"/>
      <c r="CF175" s="1"/>
    </row>
    <row r="176" spans="1:108">
      <c r="A176">
        <v>46</v>
      </c>
      <c r="B176">
        <f t="shared" si="34"/>
        <v>0.6333333333333333</v>
      </c>
      <c r="C176">
        <v>7</v>
      </c>
      <c r="D176">
        <v>21486993.989</v>
      </c>
      <c r="E176">
        <v>112914922.21449</v>
      </c>
      <c r="F176">
        <v>2573.3939999999998</v>
      </c>
      <c r="G176">
        <v>21486993.035</v>
      </c>
      <c r="H176">
        <v>87985654.615480006</v>
      </c>
      <c r="J176" s="5">
        <f>'sv07'!$AA$3+'sv07'!$Z$3*($B176)+'sv07'!$Y$3*($B176)^2+'sv07'!$X$3*($B176)^3+'sv07'!$W$3*($B176)^4+'sv07'!$V$3*($B176)^5+'sv07'!$U$3*($B176)^6+'sv07'!$T$3*($B176)^7+'sv07'!$S$3*($B176)^8</f>
        <v>25056.030728408135</v>
      </c>
      <c r="K176" s="5">
        <f>'sv07'!$AA$4+'sv07'!$Z$4*($B176)+'sv07'!$Y$4*($B176)^2+'sv07'!$X$4*($B176)^3+'sv07'!$W$4*($B176)^4+'sv07'!$V$4*($B176)^5+'sv07'!$U$4*($B176)^6+'sv07'!$T$4*($B176)^7+'sv07'!$S$4*($B176)^8</f>
        <v>6528.0636020128859</v>
      </c>
      <c r="L176" s="5">
        <f>'sv07'!$AA$5+'sv07'!$Z$5*($B176)+'sv07'!$Y$5*($B176)^2+'sv07'!$X$5*($B176)^3+'sv07'!$W$5*($B176)^4+'sv07'!$V$5*($B176)^5+'sv07'!$U$5*($B176)^6+'sv07'!$T$5*($B176)^7+'sv07'!$S$5*($B176)^8</f>
        <v>6294.6189609966514</v>
      </c>
      <c r="M176" s="5">
        <f>'sv07'!$AA$6+'sv07'!$Z$6*$B176+'sv07'!$Y$6*$B176^2+'sv07'!$X$6*$B176^3+'sv07'!$W$6*$B176^4+'sv07'!$V$6*$B176^5+'sv07'!$U$6*$B176^6+'sv07'!$T$6*$B176^7+'sv07'!$S$6*$B176^8</f>
        <v>-0.6380788014545038</v>
      </c>
      <c r="O176">
        <f>SQRT(($J176*1000-coord!$B$2)^2+($K176*1000-coord!$C$2)^2+($L176*1000-coord!$D$2)^2)/coord!$B$6</f>
        <v>7.1672133008997246E-2</v>
      </c>
      <c r="Q176" s="5">
        <f>'sv07'!$AA$3+'sv07'!$Z$3*($B176-$O176/3600)+'sv07'!$Y$3*($B176-$O176/3600)^2+'sv07'!$X$3*($B176-$O176/3600)^3+'sv07'!$W$3*($B176-$O176/3600)^4+'sv07'!$V$3*($B176-$O176/3600)^5+'sv07'!$U$3*($B176-$O176/3600)^6+'sv07'!$T$3*($B176-$O176/3600)^7+'sv07'!$S$3*($B176-$O176/3600)^8+K176*coord!$B$7*O176</f>
        <v>25056.123097040916</v>
      </c>
      <c r="R176" s="5">
        <f>'sv07'!$AA$4+'sv07'!$Z$4*($B176-$O176/3600)+'sv07'!$Y$4*($B176-$O176/3600)^2+'sv07'!$X$4*($B176-$O176/3600)^3+'sv07'!$W$4*($B176-$O176/3600)^4+'sv07'!$V$4*($B176-$O176/3600)^5+'sv07'!$U$4*($B176-$O176/3600)^6+'sv07'!$T$4*($B176-$O176/3600)^7+'sv07'!$S$4*($B176-$O176/3600)^8-J176*coord!$B$7*O176</f>
        <v>6527.9217052869317</v>
      </c>
      <c r="S176" s="5">
        <f>'sv07'!$AA$5+'sv07'!$Z$5*($B176-$O176/3600)+'sv07'!$Y$5*($B176-$O176/3600)^2+'sv07'!$X$5*($B176-$O176/3600)^3+'sv07'!$W$5*($B176-$O176/3600)^4+'sv07'!$V$5*($B176-$O176/3600)^5+'sv07'!$U$5*($B176-$O176/3600)^6+'sv07'!$T$5*($B176-$O176/3600)^7+'sv07'!$S$5*($B176-$O176/3600)^8</f>
        <v>6294.4000310737238</v>
      </c>
      <c r="T176">
        <f>coord!$B$6*M176/10^6</f>
        <v>-191.29121228573965</v>
      </c>
      <c r="U176">
        <f>SQRT(($Q176*1000+coord!$B$7*$O176*$R176*1000-coord!$B$2)^2+($R176*1000-coord!$B$7*$O176*$Q176*1000-coord!$C$2)^2+($S176*1000-coord!$D$2)^2)</f>
        <v>21486797.347463302</v>
      </c>
      <c r="V176" s="3">
        <f>$D176-(U176-$T176)-coord!$E$2</f>
        <v>5.3503244109451771</v>
      </c>
      <c r="W176" s="3" t="s">
        <v>127</v>
      </c>
      <c r="X176" s="1" t="s">
        <v>128</v>
      </c>
      <c r="Y176">
        <f>-(Q176*1000-coord!$B$2)/$U176</f>
        <v>-0.9618578605285194</v>
      </c>
      <c r="Z176">
        <f>-(R176*1000-coord!$C$2)/$U176</f>
        <v>-0.26078113929568264</v>
      </c>
      <c r="AA176">
        <f>-(S176*1000-coord!$D$2)/$U176</f>
        <v>-8.2600106850416952E-2</v>
      </c>
      <c r="AB176">
        <v>1</v>
      </c>
      <c r="BA176">
        <f>SQRT(($Q176*1000+coord!$B$7*$O176*$R176*1000-coord!$B$2-AX$170)^2+($R176*1000-coord!$B$7*$O176*$Q176*1000-coord!$C$2-AX$171)^2+($S176*1000-coord!$D$2-AX$172)^2)</f>
        <v>21486796.879006699</v>
      </c>
      <c r="BB176" s="3">
        <f t="shared" si="35"/>
        <v>-5.0516026533443465</v>
      </c>
      <c r="BC176" s="3" t="s">
        <v>127</v>
      </c>
      <c r="BD176" s="1" t="s">
        <v>128</v>
      </c>
      <c r="BE176" s="1"/>
      <c r="BF176" s="1"/>
      <c r="CD176" s="1"/>
      <c r="CE176" s="1"/>
      <c r="CF176" s="1"/>
    </row>
    <row r="177" spans="1:108">
      <c r="V177" s="3"/>
      <c r="W177" s="3">
        <f>AVERAGE($V170:$V176)</f>
        <v>-4.9957367740571499</v>
      </c>
      <c r="X177" s="1">
        <f>SQRT(DEVSQ($V170:$V176)/6)</f>
        <v>35.177857146258908</v>
      </c>
      <c r="BB177" s="3"/>
      <c r="BC177" s="3">
        <f>AVERAGE($BB170:$BB176)</f>
        <v>1.2993947251719158E-4</v>
      </c>
      <c r="BD177" s="1">
        <f>SQRT(DEVSQ($BB170:$BB176)/6)</f>
        <v>4.8030332660567705</v>
      </c>
      <c r="BE177" s="1"/>
      <c r="BF177" s="1"/>
      <c r="CD177" s="1"/>
      <c r="CE177" s="1"/>
      <c r="CF177" s="1"/>
    </row>
    <row r="178" spans="1:108">
      <c r="A178">
        <v>48</v>
      </c>
      <c r="B178">
        <f t="shared" ref="B178:B184" si="36">(60-45)/60+30*A178/3600</f>
        <v>0.65</v>
      </c>
      <c r="C178">
        <v>2</v>
      </c>
      <c r="D178">
        <v>22317895.300999999</v>
      </c>
      <c r="E178">
        <v>117281337.29948001</v>
      </c>
      <c r="F178">
        <v>1845.367</v>
      </c>
      <c r="G178">
        <v>22317892.585999999</v>
      </c>
      <c r="H178">
        <v>91388044.599470004</v>
      </c>
      <c r="J178" s="5">
        <f>'sv02'!$AA$3+'sv02'!$Z$3*($B178)+'sv02'!$Y$3*($B178)^2+'sv02'!$X$3*($B178)^3+'sv02'!$W$3*($B178)^4+'sv02'!$V$3*($B178)^5+'sv02'!$U$3*($B178)^6+'sv02'!$T$3*($B178)^7+'sv02'!$S$3*($B178)^8</f>
        <v>9373.359437301835</v>
      </c>
      <c r="K178" s="5">
        <f>'sv02'!$AA$4+'sv02'!$Z$4*($B178)+'sv02'!$Y$4*($B178)^2+'sv02'!$X$4*($B178)^3+'sv02'!$W$4*($B178)^4+'sv02'!$V$4*($B178)^5+'sv02'!$U$4*($B178)^6+'sv02'!$T$4*($B178)^7+'sv02'!$S$4*($B178)^8</f>
        <v>-14214.093279518736</v>
      </c>
      <c r="L178" s="5">
        <f>'sv02'!$AA$5+'sv02'!$Z$5*($B178)+'sv02'!$Y$5*($B178)^2+'sv02'!$X$5*($B178)^3+'sv02'!$W$5*($B178)^4+'sv02'!$V$5*($B178)^5+'sv02'!$U$5*($B178)^6+'sv02'!$T$5*($B178)^7+'sv02'!$S$5*($B178)^8</f>
        <v>20252.224808213217</v>
      </c>
      <c r="M178" s="5">
        <f>'sv02'!$AA$6+'sv02'!$Z$6*$B178+'sv02'!$Y$6*$B178^2+'sv02'!$X$6*$B178^3+'sv02'!$W$6*$B178^4+'sv02'!$V$6*$B178^5+'sv02'!$U$6*$B178^6+'sv02'!$T$6*$B178^7+'sv02'!$S$6*$B178^8</f>
        <v>257.59442664121826</v>
      </c>
      <c r="O178">
        <f>SQRT(($J178*1000-coord!$B$2)^2+($K178*1000-coord!$C$2)^2+($L178*1000-coord!$D$2)^2)/coord!$B$6</f>
        <v>7.4701977989933221E-2</v>
      </c>
      <c r="Q178" s="5">
        <f>'sv02'!$AA$3+'sv02'!$Z$3*($B178-$O178/3600)+'sv02'!$Y$3*($B178-$O178/3600)^2+'sv02'!$X$3*($B178-$O178/3600)^3+'sv02'!$W$3*($B178-$O178/3600)^4+'sv02'!$V$3*($B178-$O178/3600)^5+'sv02'!$U$3*($B178-$O178/3600)^6+'sv02'!$T$3*($B178-$O178/3600)^7+'sv02'!$S$3*($B178-$O178/3600)^8+K178*coord!$B$7*O178</f>
        <v>9373.0891219103341</v>
      </c>
      <c r="R178" s="5">
        <f>'sv02'!$AA$4+'sv02'!$Z$4*($B178-$O178/3600)+'sv02'!$Y$4*($B178-$O178/3600)^2+'sv02'!$X$4*($B178-$O178/3600)^3+'sv02'!$W$4*($B178-$O178/3600)^4+'sv02'!$V$4*($B178-$O178/3600)^5+'sv02'!$U$4*($B178-$O178/3600)^6+'sv02'!$T$4*($B178-$O178/3600)^7+'sv02'!$S$4*($B178-$O178/3600)^8-J178*coord!$B$7*O178</f>
        <v>-14214.16695262983</v>
      </c>
      <c r="S178" s="5">
        <f>'sv02'!$AA$5+'sv02'!$Z$5*($B178-$O178/3600)+'sv02'!$Y$5*($B178-$O178/3600)^2+'sv02'!$X$5*($B178-$O178/3600)^3+'sv02'!$W$5*($B178-$O178/3600)^4+'sv02'!$V$5*($B178-$O178/3600)^5+'sv02'!$U$5*($B178-$O178/3600)^6+'sv02'!$T$5*($B178-$O178/3600)^7+'sv02'!$S$5*($B178-$O178/3600)^8</f>
        <v>20252.301532350535</v>
      </c>
      <c r="T178">
        <f>coord!$B$6*M178/10^6</f>
        <v>77224.866329871511</v>
      </c>
      <c r="U178">
        <f>SQRT(($Q178*1000+coord!$B$7*$O178*$R178*1000-coord!$B$2)^2+($R178*1000-coord!$B$7*$O178*$Q178*1000-coord!$C$2)^2+($S178*1000-coord!$D$2)^2)</f>
        <v>22395150.419733256</v>
      </c>
      <c r="V178" s="3">
        <f>$D178-(U178-$T178)-coord!$E$2</f>
        <v>-30.252403385937214</v>
      </c>
      <c r="W178" s="3"/>
      <c r="Y178">
        <f>-(Q178*1000-coord!$B$2)/$U178</f>
        <v>-0.22255760098483407</v>
      </c>
      <c r="Z178">
        <f>-(R178*1000-coord!$C$2)/$U178</f>
        <v>0.67598283030465778</v>
      </c>
      <c r="AA178">
        <f>-(S178*1000-coord!$D$2)/$U178</f>
        <v>-0.70250536224073845</v>
      </c>
      <c r="AB178">
        <v>1</v>
      </c>
      <c r="AD178">
        <f t="array" ref="AD178:AJ181">TRANSPOSE(Y178:AB184)</f>
        <v>-0.22255760098483407</v>
      </c>
      <c r="AE178">
        <v>-0.13752872274372219</v>
      </c>
      <c r="AF178">
        <v>-0.19216371327631238</v>
      </c>
      <c r="AG178">
        <v>-0.86957906407676711</v>
      </c>
      <c r="AH178">
        <v>-0.41497535612313979</v>
      </c>
      <c r="AI178">
        <v>-0.42864330363764047</v>
      </c>
      <c r="AJ178">
        <v>-0.96086361471144077</v>
      </c>
      <c r="AL178">
        <f t="array" ref="AL178:AO181">MMULT(AD178:AJ181,Y178:AB184)</f>
        <v>2.1407391907356645</v>
      </c>
      <c r="AM178">
        <v>0.23642773073922996</v>
      </c>
      <c r="AN178">
        <v>1.1207269394631554</v>
      </c>
      <c r="AO178">
        <v>-3.2263113755538564</v>
      </c>
      <c r="AQ178">
        <f t="array" ref="AQ178:AT181">MINVERSE(AL178:AO181)</f>
        <v>2.6408440632532564</v>
      </c>
      <c r="AR178">
        <v>0.29678951879442222</v>
      </c>
      <c r="AS178">
        <v>1.7144322854384264</v>
      </c>
      <c r="AT178">
        <v>2.0596084289288785</v>
      </c>
      <c r="AV178">
        <f t="array" ref="AV178:AV181">MMULT(AD178:AJ181,V178:V184)</f>
        <v>11.292675897503461</v>
      </c>
      <c r="AX178">
        <f t="array" ref="AX178:AX181">MMULT(AQ178:AT181,AV178:AV181)</f>
        <v>14.846747496707628</v>
      </c>
      <c r="BA178">
        <f>SQRT(($Q178*1000+coord!$B$7*$O178*$R178*1000-coord!$B$2-AX$178)^2+($R178*1000-coord!$B$7*$O178*$Q178*1000-coord!$C$2-AX$179)^2+($S178*1000-coord!$D$2-AX$180)^2)</f>
        <v>22395115.975786623</v>
      </c>
      <c r="BB178" s="3">
        <f>$D178-(BA178-$T178)-AX$181</f>
        <v>-6.9357539926842264</v>
      </c>
      <c r="BD178" s="1">
        <f>coord!$B$2+$AX178</f>
        <v>4388893.0175474975</v>
      </c>
      <c r="BE178" s="1">
        <f>coord!$C$2+$AX179</f>
        <v>924544.15057840804</v>
      </c>
      <c r="BF178" s="1">
        <f>coord!$D$2+$AX180</f>
        <v>4519607.522265817</v>
      </c>
      <c r="BG178" s="1">
        <f>coord!$E$2+$AX181</f>
        <v>11.127297240234952</v>
      </c>
      <c r="BH178" s="8">
        <f>lat($BD178,$BE178,$BF178)</f>
        <v>45.411234187636559</v>
      </c>
      <c r="BI178" s="8">
        <f>lon($BD178,$BE178,$BF178)</f>
        <v>11.895741653128617</v>
      </c>
      <c r="BJ178" s="6">
        <f>h($BD178,$BE178,$BF178)</f>
        <v>82.256155439652503</v>
      </c>
      <c r="BL178">
        <f>grado($BH178)</f>
        <v>45</v>
      </c>
      <c r="BM178">
        <f>MINUTOprimo($BH178)</f>
        <v>24</v>
      </c>
      <c r="BN178">
        <f>MINUTOsecondo($BH178)</f>
        <v>40.443075491612603</v>
      </c>
      <c r="BO178">
        <f>grado($BI178)</f>
        <v>11</v>
      </c>
      <c r="BP178">
        <f>MINUTOprimo($BI178)</f>
        <v>53</v>
      </c>
      <c r="BQ178">
        <f>MINUTOsecondo($BI178)</f>
        <v>44.669951263021517</v>
      </c>
      <c r="BS178">
        <f>-SIN(RADIANS(BH178))*COS(RADIANS(BI178))</f>
        <v>-0.69686949751054772</v>
      </c>
      <c r="BT178">
        <f>-SIN(RADIANS(BI178))</f>
        <v>-0.20613145991252516</v>
      </c>
      <c r="BU178">
        <f>COS(RADIANS(BH178))*COS(RADIANS(BI178))</f>
        <v>0.68693720577191597</v>
      </c>
      <c r="BW178" t="s">
        <v>93</v>
      </c>
      <c r="BX178">
        <f t="array" ref="BX178:BZ180">MINVERSE(BS178:BU180)</f>
        <v>-0.69686949751054772</v>
      </c>
      <c r="BY178">
        <v>-0.14679934440504397</v>
      </c>
      <c r="BZ178">
        <v>0.70201343001515704</v>
      </c>
      <c r="CA178">
        <v>0</v>
      </c>
      <c r="CB178" s="1">
        <f t="array" ref="CB178:CB180">MMULT(BX178:BZ180,AX178:AX180)</f>
        <v>6.9920607999942952</v>
      </c>
      <c r="CD178" s="1">
        <f t="array" ref="CD178:CF178">TRANSPOSE(CB178:CB180)</f>
        <v>6.9920607999942952</v>
      </c>
      <c r="CE178" s="1">
        <v>-28.563290492893394</v>
      </c>
      <c r="CF178" s="1">
        <v>20.135040739589332</v>
      </c>
      <c r="CH178">
        <f t="array" ref="CH178:CK181">MMULT(BX178:CA181,AQ178:AT181)</f>
        <v>-0.68033769291896484</v>
      </c>
      <c r="CI178">
        <v>9.454655667731604E-2</v>
      </c>
      <c r="CJ178">
        <v>0.59350348662816432</v>
      </c>
      <c r="CK178">
        <v>-2.2331164694071148E-2</v>
      </c>
      <c r="CM178">
        <f t="array" ref="CM178:CP181">TRANSPOSE(BX178:CA181)</f>
        <v>-0.69686949751054772</v>
      </c>
      <c r="CN178">
        <v>-0.20613145991252518</v>
      </c>
      <c r="CO178">
        <v>0.68693720577191608</v>
      </c>
      <c r="CP178">
        <v>0</v>
      </c>
      <c r="CR178" s="5">
        <f t="array" ref="CR178:CU181">MMULT(CH178:CK181,CM178:CP181)</f>
        <v>0.87687463203973259</v>
      </c>
      <c r="CS178" s="5">
        <v>0.23275510581592165</v>
      </c>
      <c r="CT178" s="5">
        <v>-3.0996077613576478E-2</v>
      </c>
      <c r="CU178" s="5">
        <v>-2.2331164694071148E-2</v>
      </c>
      <c r="CW178" s="3">
        <f>SQRT(CR178+CS179)</f>
        <v>1.1693040896032656</v>
      </c>
      <c r="CX178" s="3">
        <f>CT180</f>
        <v>4.4533921900654736</v>
      </c>
      <c r="CY178" s="3">
        <f>CU181</f>
        <v>2.1273266822211565</v>
      </c>
      <c r="CZ178" s="3">
        <f>BB185</f>
        <v>0</v>
      </c>
      <c r="DA178">
        <v>6</v>
      </c>
      <c r="DB178" s="6">
        <f>CY178*DA178*CZ178</f>
        <v>0</v>
      </c>
      <c r="DC178">
        <v>5.33</v>
      </c>
      <c r="DD178" s="6">
        <f>CZ178*DC178*SQRT(0.5*(CR178+CS179)+SQRT((0.5*(CR178-CS179))^2+CS178^2))</f>
        <v>0</v>
      </c>
    </row>
    <row r="179" spans="1:108">
      <c r="A179">
        <v>48</v>
      </c>
      <c r="B179">
        <f t="shared" si="36"/>
        <v>0.65</v>
      </c>
      <c r="C179">
        <v>23</v>
      </c>
      <c r="D179">
        <v>21383177.965</v>
      </c>
      <c r="E179">
        <v>112369353.17049</v>
      </c>
      <c r="F179">
        <v>-2136.3009999999999</v>
      </c>
      <c r="G179">
        <v>21383174.370999999</v>
      </c>
      <c r="H179">
        <v>87560520.698469996</v>
      </c>
      <c r="J179" s="5">
        <f>'sv23'!$AA$3+'sv23'!$Z$3*($B179)+'sv23'!$Y$3*($B179)^2+'sv23'!$X$3*($B179)^3+'sv23'!$W$3*($B179)^4+'sv23'!$V$3*($B179)^5+'sv23'!$U$3*($B179)^6+'sv23'!$T$3*($B179)^7+'sv23'!$S$3*($B179)^8</f>
        <v>7344.7444935465037</v>
      </c>
      <c r="K179" s="5">
        <f>'sv23'!$AA$4+'sv23'!$Z$4*($B179)+'sv23'!$Y$4*($B179)^2+'sv23'!$X$4*($B179)^3+'sv23'!$W$4*($B179)^4+'sv23'!$V$4*($B179)^5+'sv23'!$U$4*($B179)^6+'sv23'!$T$4*($B179)^7+'sv23'!$S$4*($B179)^8</f>
        <v>14552.571314173254</v>
      </c>
      <c r="L179" s="5">
        <f>'sv23'!$AA$5+'sv23'!$Z$5*($B179)+'sv23'!$Y$5*($B179)^2+'sv23'!$X$5*($B179)^3+'sv23'!$W$5*($B179)^4+'sv23'!$V$5*($B179)^5+'sv23'!$U$5*($B179)^6+'sv23'!$T$5*($B179)^7+'sv23'!$S$5*($B179)^8</f>
        <v>20876.227398716048</v>
      </c>
      <c r="M179" s="5">
        <f>'sv23'!$AA$6+'sv23'!$Z$6*$B179+'sv23'!$Y$6*$B179^2+'sv23'!$X$6*$B179^3+'sv23'!$W$6*$B179^4+'sv23'!$V$6*$B179^5+'sv23'!$U$6*$B179^6+'sv23'!$T$6*$B179^7+'sv23'!$S$6*$B179^8</f>
        <v>370.05561322076602</v>
      </c>
      <c r="O179">
        <f>SQRT(($J179*1000-coord!$B$2)^2+($K179*1000-coord!$C$2)^2+($L179*1000-coord!$D$2)^2)/coord!$B$6</f>
        <v>7.1696822754328288E-2</v>
      </c>
      <c r="Q179" s="5">
        <f>'sv23'!$AA$3+'sv23'!$Z$3*($B179-$O179/3600)+'sv23'!$Y$3*($B179-$O179/3600)^2+'sv23'!$X$3*($B179-$O179/3600)^3+'sv23'!$W$3*($B179-$O179/3600)^4+'sv23'!$V$3*($B179-$O179/3600)^5+'sv23'!$U$3*($B179-$O179/3600)^6+'sv23'!$T$3*($B179-$O179/3600)^7+'sv23'!$S$3*($B179-$O179/3600)^8+K179*coord!$B$7*O179</f>
        <v>7344.9356398925411</v>
      </c>
      <c r="R179" s="5">
        <f>'sv23'!$AA$4+'sv23'!$Z$4*($B179-$O179/3600)+'sv23'!$Y$4*($B179-$O179/3600)^2+'sv23'!$X$4*($B179-$O179/3600)^3+'sv23'!$W$4*($B179-$O179/3600)^4+'sv23'!$V$4*($B179-$O179/3600)^5+'sv23'!$U$4*($B179-$O179/3600)^6+'sv23'!$T$4*($B179-$O179/3600)^7+'sv23'!$S$4*($B179-$O179/3600)^8-J179*coord!$B$7*O179</f>
        <v>14552.380473625688</v>
      </c>
      <c r="S179" s="5">
        <f>'sv23'!$AA$5+'sv23'!$Z$5*($B179-$O179/3600)+'sv23'!$Y$5*($B179-$O179/3600)^2+'sv23'!$X$5*($B179-$O179/3600)^3+'sv23'!$W$5*($B179-$O179/3600)^4+'sv23'!$V$5*($B179-$O179/3600)^5+'sv23'!$U$5*($B179-$O179/3600)^6+'sv23'!$T$5*($B179-$O179/3600)^7+'sv23'!$S$5*($B179-$O179/3600)^8</f>
        <v>20876.295315131858</v>
      </c>
      <c r="T179">
        <f>coord!$B$6*M179/10^6</f>
        <v>110939.88188415075</v>
      </c>
      <c r="U179">
        <f>SQRT(($Q179*1000+coord!$B$7*$O179*$R179*1000-coord!$B$2)^2+($R179*1000-coord!$B$7*$O179*$Q179*1000-coord!$C$2)^2+($S179*1000-coord!$D$2)^2)</f>
        <v>21494109.812980697</v>
      </c>
      <c r="V179" s="3">
        <f>$D179-(U179-$T179)-coord!$E$2</f>
        <v>8.0339034534990788</v>
      </c>
      <c r="W179" s="3"/>
      <c r="Y179">
        <f>-(Q179*1000-coord!$B$2)/$U179</f>
        <v>-0.13752872274372219</v>
      </c>
      <c r="Z179">
        <f>-(R179*1000-coord!$C$2)/$U179</f>
        <v>-0.63402533898824687</v>
      </c>
      <c r="AA179">
        <f>-(S179*1000-coord!$D$2)/$U179</f>
        <v>-0.76098555293291259</v>
      </c>
      <c r="AB179">
        <v>1</v>
      </c>
      <c r="AD179">
        <v>0.67598283030465778</v>
      </c>
      <c r="AE179">
        <v>-0.63402533898824687</v>
      </c>
      <c r="AF179">
        <v>0.70693996783443391</v>
      </c>
      <c r="AG179">
        <v>0.35881475065519686</v>
      </c>
      <c r="AH179">
        <v>-0.90826275273128032</v>
      </c>
      <c r="AI179">
        <v>-0.27833781094628057</v>
      </c>
      <c r="AJ179">
        <v>-0.26156454996050393</v>
      </c>
      <c r="AL179">
        <v>0.23642773073922996</v>
      </c>
      <c r="AM179">
        <v>2.4582822395527697</v>
      </c>
      <c r="AN179">
        <v>-0.3807449890015342</v>
      </c>
      <c r="AO179">
        <v>-0.34045290383202315</v>
      </c>
      <c r="AQ179">
        <v>0.29678951879442245</v>
      </c>
      <c r="AR179">
        <v>0.5200104720563633</v>
      </c>
      <c r="AS179">
        <v>0.53803431635126819</v>
      </c>
      <c r="AT179">
        <v>0.42193181140445229</v>
      </c>
      <c r="AV179">
        <v>-71.675984147017402</v>
      </c>
      <c r="AX179">
        <v>-26.062621591964842</v>
      </c>
      <c r="BA179">
        <f>SQRT(($Q179*1000+coord!$B$7*$O179*$R179*1000-coord!$B$2-AX$178)^2+($R179*1000-coord!$B$7*$O179*$Q179*1000-coord!$C$2-AX$179)^2+($S179*1000-coord!$D$2-AX$180)^2)</f>
        <v>21494109.647995483</v>
      </c>
      <c r="BB179" s="3">
        <f t="shared" ref="BB179:BB184" si="37">$D179-(BA179-$T179)-AX$181</f>
        <v>-2.9284085733071379</v>
      </c>
      <c r="BD179" s="1"/>
      <c r="BE179" s="1"/>
      <c r="BF179" s="1"/>
      <c r="BS179">
        <f>-SIN(RADIANS(BH178))*SIN(RADIANS(BI178))</f>
        <v>-0.14679934440504394</v>
      </c>
      <c r="BT179">
        <f>COS(RADIANS(BI178))</f>
        <v>0.97852430794249101</v>
      </c>
      <c r="BU179">
        <f>COS(RADIANS(BH178))*SIN(RADIANS(BI178))</f>
        <v>0.14470705320722366</v>
      </c>
      <c r="BW179" t="s">
        <v>94</v>
      </c>
      <c r="BX179">
        <v>-0.20613145991252518</v>
      </c>
      <c r="BY179">
        <v>0.97852430794249112</v>
      </c>
      <c r="BZ179">
        <v>-5.6729455549223093E-17</v>
      </c>
      <c r="CA179">
        <v>0</v>
      </c>
      <c r="CB179" s="1">
        <v>-28.563290492893394</v>
      </c>
      <c r="CD179" s="1"/>
      <c r="CE179" s="1"/>
      <c r="CF179" s="1"/>
      <c r="CH179">
        <v>-0.25394528367682162</v>
      </c>
      <c r="CI179">
        <v>0.4476652304959709</v>
      </c>
      <c r="CJ179">
        <v>0.17308122713834592</v>
      </c>
      <c r="CK179">
        <v>-1.1679558549788813E-2</v>
      </c>
      <c r="CM179">
        <v>-0.14679934440504397</v>
      </c>
      <c r="CN179">
        <v>0.97852430794249112</v>
      </c>
      <c r="CO179">
        <v>0.14470705320722368</v>
      </c>
      <c r="CP179">
        <v>0</v>
      </c>
      <c r="CR179" s="5">
        <v>0.23275510581592146</v>
      </c>
      <c r="CS179" s="5">
        <v>0.49039742192318925</v>
      </c>
      <c r="CT179" s="5">
        <v>1.3598020890429177E-2</v>
      </c>
      <c r="CU179" s="5">
        <v>-1.1679558549788813E-2</v>
      </c>
    </row>
    <row r="180" spans="1:108">
      <c r="A180">
        <v>48</v>
      </c>
      <c r="B180">
        <f t="shared" si="36"/>
        <v>0.65</v>
      </c>
      <c r="C180">
        <v>10</v>
      </c>
      <c r="D180">
        <v>22518997.761999998</v>
      </c>
      <c r="E180">
        <v>118338137.45448001</v>
      </c>
      <c r="F180">
        <v>2898.8240000000001</v>
      </c>
      <c r="G180">
        <v>22518997.420000002</v>
      </c>
      <c r="H180">
        <v>92211539.870460004</v>
      </c>
      <c r="J180" s="5">
        <f>'sv10'!$AA$3+'sv10'!$Z$3*($B180)+'sv10'!$Y$3*($B180)^2+'sv10'!$X$3*($B180)^3+'sv10'!$W$3*($B180)^4+'sv10'!$V$3*($B180)^5+'sv10'!$U$3*($B180)^6+'sv10'!$T$3*($B180)^7+'sv10'!$S$3*($B180)^8</f>
        <v>8713.9090747043538</v>
      </c>
      <c r="K180" s="5">
        <f>'sv10'!$AA$4+'sv10'!$Z$4*($B180)+'sv10'!$Y$4*($B180)^2+'sv10'!$X$4*($B180)^3+'sv10'!$W$4*($B180)^4+'sv10'!$V$4*($B180)^5+'sv10'!$U$4*($B180)^6+'sv10'!$T$4*($B180)^7+'sv10'!$S$4*($B180)^8</f>
        <v>-14985.688854760421</v>
      </c>
      <c r="L180" s="5">
        <f>'sv10'!$AA$5+'sv10'!$Z$5*($B180)+'sv10'!$Y$5*($B180)^2+'sv10'!$X$5*($B180)^3+'sv10'!$W$5*($B180)^4+'sv10'!$V$5*($B180)^5+'sv10'!$U$5*($B180)^6+'sv10'!$T$5*($B180)^7+'sv10'!$S$5*($B180)^8</f>
        <v>19838.854328979935</v>
      </c>
      <c r="M180" s="5">
        <f>'sv10'!$AA$6+'sv10'!$Z$6*$B180+'sv10'!$Y$6*$B180^2+'sv10'!$X$6*$B180^3+'sv10'!$W$6*$B180^4+'sv10'!$V$6*$B180^5+'sv10'!$U$6*$B180^6+'sv10'!$T$6*$B180^7+'sv10'!$S$6*$B180^8</f>
        <v>-43.001926915434879</v>
      </c>
      <c r="O180">
        <f>SQRT(($J180*1000-coord!$B$2)^2+($K180*1000-coord!$C$2)^2+($L180*1000-coord!$D$2)^2)/coord!$B$6</f>
        <v>7.50720918045584E-2</v>
      </c>
      <c r="Q180" s="5">
        <f>'sv10'!$AA$3+'sv10'!$Z$3*($B180-$O180/3600)+'sv10'!$Y$3*($B180-$O180/3600)^2+'sv10'!$X$3*($B180-$O180/3600)^3+'sv10'!$W$3*($B180-$O180/3600)^4+'sv10'!$V$3*($B180-$O180/3600)^5+'sv10'!$U$3*($B180-$O180/3600)^6+'sv10'!$T$3*($B180-$O180/3600)^7+'sv10'!$S$3*($B180-$O180/3600)^8+K180*coord!$B$7*O180</f>
        <v>8713.7385841112518</v>
      </c>
      <c r="R180" s="5">
        <f>'sv10'!$AA$4+'sv10'!$Z$4*($B180-$O180/3600)+'sv10'!$Y$4*($B180-$O180/3600)^2+'sv10'!$X$4*($B180-$O180/3600)^3+'sv10'!$W$4*($B180-$O180/3600)^4+'sv10'!$V$4*($B180-$O180/3600)^5+'sv10'!$U$4*($B180-$O180/3600)^6+'sv10'!$T$4*($B180-$O180/3600)^7+'sv10'!$S$4*($B180-$O180/3600)^8-J180*coord!$B$7*O180</f>
        <v>-14985.908562147197</v>
      </c>
      <c r="S180" s="5">
        <f>'sv10'!$AA$5+'sv10'!$Z$5*($B180-$O180/3600)+'sv10'!$Y$5*($B180-$O180/3600)^2+'sv10'!$X$5*($B180-$O180/3600)^3+'sv10'!$W$5*($B180-$O180/3600)^4+'sv10'!$V$5*($B180-$O180/3600)^5+'sv10'!$U$5*($B180-$O180/3600)^6+'sv10'!$T$5*($B180-$O180/3600)^7+'sv10'!$S$5*($B180-$O180/3600)^8</f>
        <v>19838.761534428588</v>
      </c>
      <c r="T180">
        <f>coord!$B$6*M180/10^6</f>
        <v>-12891.65336871458</v>
      </c>
      <c r="U180">
        <f>SQRT(($Q180*1000+coord!$B$7*$O180*$R180*1000-coord!$B$2)^2+($R180*1000-coord!$B$7*$O180*$Q180*1000-coord!$C$2)^2+($S180*1000-coord!$D$2)^2)</f>
        <v>22506124.28108386</v>
      </c>
      <c r="V180" s="3">
        <f>$D180-(U180-$T180)-coord!$E$2</f>
        <v>-18.172452576458454</v>
      </c>
      <c r="W180" s="3"/>
      <c r="Y180">
        <f>-(Q180*1000-coord!$B$2)/$U180</f>
        <v>-0.19216371327631238</v>
      </c>
      <c r="Z180">
        <f>-(R180*1000-coord!$C$2)/$U180</f>
        <v>0.70693996783443391</v>
      </c>
      <c r="AA180">
        <f>-(S180*1000-coord!$D$2)/$U180</f>
        <v>-0.6806668739941234</v>
      </c>
      <c r="AB180">
        <v>1</v>
      </c>
      <c r="AD180">
        <v>-0.70250536224073845</v>
      </c>
      <c r="AE180">
        <v>-0.76098555293291259</v>
      </c>
      <c r="AF180">
        <v>-0.6806668739941234</v>
      </c>
      <c r="AG180">
        <v>-0.33923895527261527</v>
      </c>
      <c r="AH180">
        <v>5.3441354320857754E-2</v>
      </c>
      <c r="AI180">
        <v>-0.85953090852631819</v>
      </c>
      <c r="AJ180">
        <v>-9.124267845785855E-2</v>
      </c>
      <c r="AL180">
        <v>1.1207269394631554</v>
      </c>
      <c r="AM180">
        <v>-0.3807449890015342</v>
      </c>
      <c r="AN180">
        <v>2.4009778453128789</v>
      </c>
      <c r="AO180">
        <v>-3.3807289771037086</v>
      </c>
      <c r="AQ180">
        <v>1.7144322854384269</v>
      </c>
      <c r="AR180">
        <v>0.53803431635126819</v>
      </c>
      <c r="AS180">
        <v>2.6598097087187744</v>
      </c>
      <c r="AT180">
        <v>2.1009376409053133</v>
      </c>
      <c r="AV180">
        <v>35.157925733133659</v>
      </c>
      <c r="AX180">
        <v>19.247965817722317</v>
      </c>
      <c r="BA180">
        <f>SQRT(($Q180*1000+coord!$B$7*$O180*$R180*1000-coord!$B$2-AX$178)^2+($R180*1000-coord!$B$7*$O180*$Q180*1000-coord!$C$2-AX$179)^2+($S180*1000-coord!$D$2-AX$180)^2)</f>
        <v>22506089.901916977</v>
      </c>
      <c r="BB180" s="3">
        <f t="shared" si="37"/>
        <v>5.0794170657917448</v>
      </c>
      <c r="BD180" s="1"/>
      <c r="BE180" s="1"/>
      <c r="BF180" s="1"/>
      <c r="BS180">
        <f>COS(RADIANS(BH178))</f>
        <v>0.70201343001515715</v>
      </c>
      <c r="BT180">
        <v>0</v>
      </c>
      <c r="BU180">
        <f>SIN(RADIANS(BH178))</f>
        <v>0.71216370595415346</v>
      </c>
      <c r="BW180" t="s">
        <v>95</v>
      </c>
      <c r="BX180">
        <v>0.68693720577191608</v>
      </c>
      <c r="BY180">
        <v>0.14470705320722368</v>
      </c>
      <c r="BZ180">
        <v>0.71216370595415368</v>
      </c>
      <c r="CA180">
        <v>0</v>
      </c>
      <c r="CB180" s="1">
        <v>20.135040739589332</v>
      </c>
      <c r="CD180" s="1"/>
      <c r="CE180" s="1"/>
      <c r="CF180" s="1"/>
      <c r="CH180">
        <v>3.0779980283833552</v>
      </c>
      <c r="CI180">
        <v>0.66229345845443433</v>
      </c>
      <c r="CJ180">
        <v>3.1497846233817883</v>
      </c>
      <c r="CK180">
        <v>2.9720897045611192</v>
      </c>
      <c r="CM180">
        <v>0.70201343001515704</v>
      </c>
      <c r="CN180">
        <v>-5.6729455549223093E-17</v>
      </c>
      <c r="CO180">
        <v>0.71216370595415368</v>
      </c>
      <c r="CP180">
        <v>0</v>
      </c>
      <c r="CR180" s="5">
        <v>-3.0996077613576478E-2</v>
      </c>
      <c r="CS180" s="5">
        <v>1.3598020890428985E-2</v>
      </c>
      <c r="CT180" s="5">
        <v>4.4533921900654736</v>
      </c>
      <c r="CU180" s="5">
        <v>2.9720897045611192</v>
      </c>
    </row>
    <row r="181" spans="1:108">
      <c r="A181">
        <v>48</v>
      </c>
      <c r="B181">
        <f t="shared" si="36"/>
        <v>0.65</v>
      </c>
      <c r="C181">
        <v>4</v>
      </c>
      <c r="D181">
        <v>21315757.666999999</v>
      </c>
      <c r="E181">
        <v>112015059.11149</v>
      </c>
      <c r="F181">
        <v>-1409.125</v>
      </c>
      <c r="G181">
        <v>21315757.27</v>
      </c>
      <c r="H181">
        <v>87284457.87748</v>
      </c>
      <c r="J181" s="5">
        <f>'sv04'!$AA$3+'sv04'!$Z$3*($B181)+'sv04'!$Y$3*($B181)^2+'sv04'!$X$3*($B181)^3+'sv04'!$W$3*($B181)^4+'sv04'!$V$3*($B181)^5+'sv04'!$U$3*($B181)^6+'sv04'!$T$3*($B181)^7+'sv04'!$S$3*($B181)^8</f>
        <v>22947.345313275469</v>
      </c>
      <c r="K181" s="5">
        <f>'sv04'!$AA$4+'sv04'!$Z$4*($B181)+'sv04'!$Y$4*($B181)^2+'sv04'!$X$4*($B181)^3+'sv04'!$W$4*($B181)^4+'sv04'!$V$4*($B181)^5+'sv04'!$U$4*($B181)^6+'sv04'!$T$4*($B181)^7+'sv04'!$S$4*($B181)^8</f>
        <v>-6733.012148507878</v>
      </c>
      <c r="L181" s="5">
        <f>'sv04'!$AA$5+'sv04'!$Z$5*($B181)+'sv04'!$Y$5*($B181)^2+'sv04'!$X$5*($B181)^3+'sv04'!$W$5*($B181)^4+'sv04'!$V$5*($B181)^5+'sv04'!$U$5*($B181)^6+'sv04'!$T$5*($B181)^7+'sv04'!$S$5*($B181)^8</f>
        <v>11759.351700601743</v>
      </c>
      <c r="M181" s="5">
        <f>'sv04'!$AA$6+'sv04'!$Z$6*$B181+'sv04'!$Y$6*$B181^2+'sv04'!$X$6*$B181^3+'sv04'!$W$6*$B181^4+'sv04'!$V$6*$B181^5+'sv04'!$U$6*$B181^6+'sv04'!$T$6*$B181^7+'sv04'!$S$6*$B181^8</f>
        <v>86.606697132098674</v>
      </c>
      <c r="O181">
        <f>SQRT(($J181*1000-coord!$B$2)^2+($K181*1000-coord!$C$2)^2+($L181*1000-coord!$D$2)^2)/coord!$B$6</f>
        <v>7.1188348994617262E-2</v>
      </c>
      <c r="Q181" s="5">
        <f>'sv04'!$AA$3+'sv04'!$Z$3*($B181-$O181/3600)+'sv04'!$Y$3*($B181-$O181/3600)^2+'sv04'!$X$3*($B181-$O181/3600)^3+'sv04'!$W$3*($B181-$O181/3600)^4+'sv04'!$V$3*($B181-$O181/3600)^5+'sv04'!$U$3*($B181-$O181/3600)^6+'sv04'!$T$3*($B181-$O181/3600)^7+'sv04'!$S$3*($B181-$O181/3600)^8+K181*coord!$B$7*O181</f>
        <v>22947.204760166969</v>
      </c>
      <c r="R181" s="5">
        <f>'sv04'!$AA$4+'sv04'!$Z$4*($B181-$O181/3600)+'sv04'!$Y$4*($B181-$O181/3600)^2+'sv04'!$X$4*($B181-$O181/3600)^3+'sv04'!$W$4*($B181-$O181/3600)^4+'sv04'!$V$4*($B181-$O181/3600)^5+'sv04'!$U$4*($B181-$O181/3600)^6+'sv04'!$T$4*($B181-$O181/3600)^7+'sv04'!$S$4*($B181-$O181/3600)^8-J181*coord!$B$7*O181</f>
        <v>-6733.1593744037291</v>
      </c>
      <c r="S181" s="5">
        <f>'sv04'!$AA$5+'sv04'!$Z$5*($B181-$O181/3600)+'sv04'!$Y$5*($B181-$O181/3600)^2+'sv04'!$X$5*($B181-$O181/3600)^3+'sv04'!$W$5*($B181-$O181/3600)^4+'sv04'!$V$5*($B181-$O181/3600)^5+'sv04'!$U$5*($B181-$O181/3600)^6+'sv04'!$T$5*($B181-$O181/3600)^7+'sv04'!$S$5*($B181-$O181/3600)^8</f>
        <v>11759.536409975282</v>
      </c>
      <c r="T181">
        <f>coord!$B$6*M181/10^6</f>
        <v>25964.034612493411</v>
      </c>
      <c r="U181">
        <f>SQRT(($Q181*1000+coord!$B$7*$O181*$R181*1000-coord!$B$2)^2+($R181*1000-coord!$B$7*$O181*$Q181*1000-coord!$C$2)^2+($S181*1000-coord!$D$2)^2)</f>
        <v>21341735.738624711</v>
      </c>
      <c r="V181" s="3">
        <f>$D181-(U181-$T181)-coord!$E$2</f>
        <v>-14.037012219429016</v>
      </c>
      <c r="W181" s="3"/>
      <c r="Y181">
        <f>-(Q181*1000-coord!$B$2)/$U181</f>
        <v>-0.86957906407676711</v>
      </c>
      <c r="Z181">
        <f>-(R181*1000-coord!$C$2)/$U181</f>
        <v>0.35881475065519686</v>
      </c>
      <c r="AA181">
        <f>-(S181*1000-coord!$D$2)/$U181</f>
        <v>-0.33923895527261527</v>
      </c>
      <c r="AB181">
        <v>1</v>
      </c>
      <c r="AD181">
        <v>1</v>
      </c>
      <c r="AE181">
        <v>1</v>
      </c>
      <c r="AF181">
        <v>1</v>
      </c>
      <c r="AG181">
        <v>1</v>
      </c>
      <c r="AH181">
        <v>1</v>
      </c>
      <c r="AI181">
        <v>1</v>
      </c>
      <c r="AJ181">
        <v>1</v>
      </c>
      <c r="AL181">
        <v>-3.2263113755538564</v>
      </c>
      <c r="AM181">
        <v>-0.34045290383202315</v>
      </c>
      <c r="AN181">
        <v>-3.3807289771037086</v>
      </c>
      <c r="AO181">
        <v>7</v>
      </c>
      <c r="AQ181">
        <v>2.0596084289288781</v>
      </c>
      <c r="AR181">
        <v>0.42193181140445224</v>
      </c>
      <c r="AS181">
        <v>2.1009376409053133</v>
      </c>
      <c r="AT181">
        <v>2.1273266822211565</v>
      </c>
      <c r="AV181">
        <v>-26.208210244774818</v>
      </c>
      <c r="AX181">
        <v>11.127297240234952</v>
      </c>
      <c r="BA181">
        <f>SQRT(($Q181*1000+coord!$B$7*$O181*$R181*1000-coord!$B$2-AX$178)^2+($R181*1000-coord!$B$7*$O181*$Q181*1000-coord!$C$2-AX$179)^2+($S181*1000-coord!$D$2-AX$180)^2)</f>
        <v>21341706.946780216</v>
      </c>
      <c r="BB181" s="3">
        <f t="shared" si="37"/>
        <v>3.6275350349768587</v>
      </c>
      <c r="BD181" s="1"/>
      <c r="BE181" s="1"/>
      <c r="BF181" s="1"/>
      <c r="BX181">
        <v>0</v>
      </c>
      <c r="BY181">
        <v>0</v>
      </c>
      <c r="BZ181">
        <v>0</v>
      </c>
      <c r="CA181">
        <v>1</v>
      </c>
      <c r="CD181" s="1"/>
      <c r="CE181" s="1"/>
      <c r="CF181" s="1"/>
      <c r="CH181">
        <v>2.0596084289288781</v>
      </c>
      <c r="CI181">
        <v>0.42193181140445224</v>
      </c>
      <c r="CJ181">
        <v>2.1009376409053133</v>
      </c>
      <c r="CK181">
        <v>2.1273266822211565</v>
      </c>
      <c r="CM181">
        <v>0</v>
      </c>
      <c r="CN181">
        <v>0</v>
      </c>
      <c r="CO181">
        <v>0</v>
      </c>
      <c r="CP181">
        <v>1</v>
      </c>
      <c r="CR181" s="5">
        <v>-2.2331164694070926E-2</v>
      </c>
      <c r="CS181" s="5">
        <v>-1.1679558549788813E-2</v>
      </c>
      <c r="CT181" s="5">
        <v>2.9720897045611188</v>
      </c>
      <c r="CU181" s="5">
        <v>2.1273266822211565</v>
      </c>
    </row>
    <row r="182" spans="1:108">
      <c r="A182">
        <v>48</v>
      </c>
      <c r="B182">
        <f t="shared" si="36"/>
        <v>0.65</v>
      </c>
      <c r="C182">
        <v>20</v>
      </c>
      <c r="D182">
        <v>23472911.317000002</v>
      </c>
      <c r="E182">
        <v>123350973.67847</v>
      </c>
      <c r="F182">
        <v>-3211.94</v>
      </c>
      <c r="G182">
        <v>23472911.079999998</v>
      </c>
      <c r="H182">
        <v>96117634.748449996</v>
      </c>
      <c r="J182" s="5">
        <f>'sv20'!$AA$3+'sv20'!$Z$3*($B182)+'sv20'!$Y$3*($B182)^2+'sv20'!$X$3*($B182)^3+'sv20'!$W$3*($B182)^4+'sv20'!$V$3*($B182)^5+'sv20'!$U$3*($B182)^6+'sv20'!$T$3*($B182)^7+'sv20'!$S$3*($B182)^8</f>
        <v>14136.352580473438</v>
      </c>
      <c r="K182" s="5">
        <f>'sv20'!$AA$4+'sv20'!$Z$4*($B182)+'sv20'!$Y$4*($B182)^2+'sv20'!$X$4*($B182)^3+'sv20'!$W$4*($B182)^4+'sv20'!$V$4*($B182)^5+'sv20'!$U$4*($B182)^6+'sv20'!$T$4*($B182)^7+'sv20'!$S$4*($B182)^8</f>
        <v>22259.433838702906</v>
      </c>
      <c r="L182" s="5">
        <f>'sv20'!$AA$5+'sv20'!$Z$5*($B182)+'sv20'!$Y$5*($B182)^2+'sv20'!$X$5*($B182)^3+'sv20'!$W$5*($B182)^4+'sv20'!$V$5*($B182)^5+'sv20'!$U$5*($B182)^6+'sv20'!$T$5*($B182)^7+'sv20'!$S$5*($B182)^8</f>
        <v>3264.0299678292045</v>
      </c>
      <c r="M182" s="5">
        <f>'sv20'!$AA$6+'sv20'!$Z$6*$B182+'sv20'!$Y$6*$B182^2+'sv20'!$X$6*$B182^3+'sv20'!$W$6*$B182^4+'sv20'!$V$6*$B182^5+'sv20'!$U$6*$B182^6+'sv20'!$T$6*$B182^7+'sv20'!$S$6*$B182^8</f>
        <v>55.817562069782291</v>
      </c>
      <c r="O182">
        <f>SQRT(($J182*1000-coord!$B$2)^2+($K182*1000-coord!$C$2)^2+($L182*1000-coord!$D$2)^2)/coord!$B$6</f>
        <v>7.8353211223791464E-2</v>
      </c>
      <c r="Q182" s="5">
        <f>'sv20'!$AA$3+'sv20'!$Z$3*($B182-$O182/3600)+'sv20'!$Y$3*($B182-$O182/3600)^2+'sv20'!$X$3*($B182-$O182/3600)^3+'sv20'!$W$3*($B182-$O182/3600)^4+'sv20'!$V$3*($B182-$O182/3600)^5+'sv20'!$U$3*($B182-$O182/3600)^6+'sv20'!$T$3*($B182-$O182/3600)^7+'sv20'!$S$3*($B182-$O182/3600)^8+K182*coord!$B$7*O182</f>
        <v>14136.488569038336</v>
      </c>
      <c r="R182" s="5">
        <f>'sv20'!$AA$4+'sv20'!$Z$4*($B182-$O182/3600)+'sv20'!$Y$4*($B182-$O182/3600)^2+'sv20'!$X$4*($B182-$O182/3600)^3+'sv20'!$W$4*($B182-$O182/3600)^4+'sv20'!$V$4*($B182-$O182/3600)^5+'sv20'!$U$4*($B182-$O182/3600)^6+'sv20'!$T$4*($B182-$O182/3600)^7+'sv20'!$S$4*($B182-$O182/3600)^8-J182*coord!$B$7*O182</f>
        <v>22259.310510956013</v>
      </c>
      <c r="S182" s="5">
        <f>'sv20'!$AA$5+'sv20'!$Z$5*($B182-$O182/3600)+'sv20'!$Y$5*($B182-$O182/3600)^2+'sv20'!$X$5*($B182-$O182/3600)^3+'sv20'!$W$5*($B182-$O182/3600)^4+'sv20'!$V$5*($B182-$O182/3600)^5+'sv20'!$U$5*($B182-$O182/3600)^6+'sv20'!$T$5*($B182-$O182/3600)^7+'sv20'!$S$5*($B182-$O182/3600)^8</f>
        <v>3264.2715587711073</v>
      </c>
      <c r="T182">
        <f>coord!$B$6*M182/10^6</f>
        <v>16733.684132467599</v>
      </c>
      <c r="U182">
        <f>SQRT(($Q182*1000+coord!$B$7*$O182*$R182*1000-coord!$B$2)^2+($R182*1000-coord!$B$7*$O182*$Q182*1000-coord!$C$2)^2+($S182*1000-coord!$D$2)^2)</f>
        <v>23489612.706894889</v>
      </c>
      <c r="V182" s="3">
        <f>$D182-(U182-$T182)-coord!$E$2</f>
        <v>32.294237580150366</v>
      </c>
      <c r="W182" s="3"/>
      <c r="Y182">
        <f>-(Q182*1000-coord!$B$2)/$U182</f>
        <v>-0.41497535612313979</v>
      </c>
      <c r="Z182">
        <f>-(R182*1000-coord!$C$2)/$U182</f>
        <v>-0.90826275273128032</v>
      </c>
      <c r="AA182">
        <f>-(S182*1000-coord!$D$2)/$U182</f>
        <v>5.3441354320857754E-2</v>
      </c>
      <c r="AB182">
        <v>1</v>
      </c>
      <c r="BA182">
        <f>SQRT(($Q182*1000+coord!$B$7*$O182*$R182*1000-coord!$B$2-AX$178)^2+($R182*1000-coord!$B$7*$O182*$Q182*1000-coord!$C$2-AX$179)^2+($S182*1000-coord!$D$2-AX$180)^2)</f>
        <v>23489631.246056069</v>
      </c>
      <c r="BB182" s="3">
        <f t="shared" si="37"/>
        <v>2.6277791607006975</v>
      </c>
      <c r="BD182" s="1"/>
      <c r="BE182" s="1"/>
      <c r="BF182" s="1"/>
      <c r="CD182" s="1"/>
      <c r="CE182" s="1"/>
      <c r="CF182" s="1"/>
    </row>
    <row r="183" spans="1:108">
      <c r="A183">
        <v>48</v>
      </c>
      <c r="B183">
        <f t="shared" si="36"/>
        <v>0.65</v>
      </c>
      <c r="C183">
        <v>13</v>
      </c>
      <c r="D183">
        <v>20250327.670000002</v>
      </c>
      <c r="E183">
        <v>106416188.50048999</v>
      </c>
      <c r="F183">
        <v>-984.46</v>
      </c>
      <c r="G183">
        <v>20250325.875999998</v>
      </c>
      <c r="H183">
        <v>82921697.113480002</v>
      </c>
      <c r="J183" s="5">
        <f>'sv13'!$AA$3+'sv13'!$Z$3*($B183)+'sv13'!$Y$3*($B183)^2+'sv13'!$X$3*($B183)^3+'sv13'!$W$3*($B183)^4+'sv13'!$V$3*($B183)^5+'sv13'!$U$3*($B183)^6+'sv13'!$T$3*($B183)^7+'sv13'!$S$3*($B183)^8</f>
        <v>13107.988628520237</v>
      </c>
      <c r="K183" s="5">
        <f>'sv13'!$AA$4+'sv13'!$Z$4*($B183)+'sv13'!$Y$4*($B183)^2+'sv13'!$X$4*($B183)^3+'sv13'!$W$4*($B183)^4+'sv13'!$V$4*($B183)^5+'sv13'!$U$4*($B183)^6+'sv13'!$T$4*($B183)^7+'sv13'!$S$4*($B183)^8</f>
        <v>6586.6027938599873</v>
      </c>
      <c r="L183" s="5">
        <f>'sv13'!$AA$5+'sv13'!$Z$5*($B183)+'sv13'!$Y$5*($B183)^2+'sv13'!$X$5*($B183)^3+'sv13'!$W$5*($B183)^4+'sv13'!$V$5*($B183)^5+'sv13'!$U$5*($B183)^6+'sv13'!$T$5*($B183)^7+'sv13'!$S$5*($B183)^8</f>
        <v>22003.788133108486</v>
      </c>
      <c r="M183" s="5">
        <f>'sv13'!$AA$6+'sv13'!$Z$6*$B183+'sv13'!$Y$6*$B183^2+'sv13'!$X$6*$B183^3+'sv13'!$W$6*$B183^4+'sv13'!$V$6*$B183^5+'sv13'!$U$6*$B183^6+'sv13'!$T$6*$B183^7+'sv13'!$S$6*$B183^8</f>
        <v>304.21913127402325</v>
      </c>
      <c r="O183">
        <f>SQRT(($J183*1000-coord!$B$2)^2+($K183*1000-coord!$C$2)^2+($L183*1000-coord!$D$2)^2)/coord!$B$6</f>
        <v>6.7852114456296617E-2</v>
      </c>
      <c r="Q183" s="5">
        <f>'sv13'!$AA$3+'sv13'!$Z$3*($B183-$O183/3600)+'sv13'!$Y$3*($B183-$O183/3600)^2+'sv13'!$X$3*($B183-$O183/3600)^3+'sv13'!$W$3*($B183-$O183/3600)^4+'sv13'!$V$3*($B183-$O183/3600)^5+'sv13'!$U$3*($B183-$O183/3600)^6+'sv13'!$T$3*($B183-$O183/3600)^7+'sv13'!$S$3*($B183-$O183/3600)^8+K183*coord!$B$7*O183</f>
        <v>13108.139348150773</v>
      </c>
      <c r="R183" s="5">
        <f>'sv13'!$AA$4+'sv13'!$Z$4*($B183-$O183/3600)+'sv13'!$Y$4*($B183-$O183/3600)^2+'sv13'!$X$4*($B183-$O183/3600)^3+'sv13'!$W$4*($B183-$O183/3600)^4+'sv13'!$V$4*($B183-$O183/3600)^5+'sv13'!$U$4*($B183-$O183/3600)^6+'sv13'!$T$4*($B183-$O183/3600)^7+'sv13'!$S$4*($B183-$O183/3600)^8-J183*coord!$B$7*O183</f>
        <v>6586.3875064530321</v>
      </c>
      <c r="S183" s="5">
        <f>'sv13'!$AA$5+'sv13'!$Z$5*($B183-$O183/3600)+'sv13'!$Y$5*($B183-$O183/3600)^2+'sv13'!$X$5*($B183-$O183/3600)^3+'sv13'!$W$5*($B183-$O183/3600)^4+'sv13'!$V$5*($B183-$O183/3600)^5+'sv13'!$U$5*($B183-$O183/3600)^6+'sv13'!$T$5*($B183-$O183/3600)^7+'sv13'!$S$5*($B183-$O183/3600)^8</f>
        <v>22003.763153145464</v>
      </c>
      <c r="T183">
        <f>coord!$B$6*M183/10^6</f>
        <v>91202.601135264093</v>
      </c>
      <c r="U183">
        <f>SQRT(($Q183*1000+coord!$B$7*$O183*$R183*1000-coord!$B$2)^2+($R183*1000-coord!$B$7*$O183*$Q183*1000-coord!$C$2)^2+($S183*1000-coord!$D$2)^2)</f>
        <v>20341531.299697429</v>
      </c>
      <c r="V183" s="3">
        <f>$D183-(U183-$T183)-coord!$E$2</f>
        <v>-1.0285621620714664</v>
      </c>
      <c r="W183" s="3"/>
      <c r="Y183">
        <f>-(Q183*1000-coord!$B$2)/$U183</f>
        <v>-0.42864330363764047</v>
      </c>
      <c r="Z183">
        <f>-(R183*1000-coord!$C$2)/$U183</f>
        <v>-0.27833781094628057</v>
      </c>
      <c r="AA183">
        <f>-(S183*1000-coord!$D$2)/$U183</f>
        <v>-0.85953090852631819</v>
      </c>
      <c r="AB183">
        <v>1</v>
      </c>
      <c r="BA183">
        <f>SQRT(($Q183*1000+coord!$B$7*$O183*$R183*1000-coord!$B$2-AX$178)^2+($R183*1000-coord!$B$7*$O183*$Q183*1000-coord!$C$2-AX$179)^2+($S183*1000-coord!$D$2-AX$180)^2)</f>
        <v>20341515.645648342</v>
      </c>
      <c r="BB183" s="3">
        <f t="shared" si="37"/>
        <v>3.498189685009379</v>
      </c>
      <c r="BD183" s="1"/>
      <c r="BE183" s="1"/>
      <c r="BF183" s="1"/>
      <c r="CD183" s="1"/>
      <c r="CE183" s="1"/>
      <c r="CF183" s="1"/>
    </row>
    <row r="184" spans="1:108">
      <c r="A184">
        <v>48</v>
      </c>
      <c r="B184">
        <f t="shared" si="36"/>
        <v>0.65</v>
      </c>
      <c r="C184">
        <v>7</v>
      </c>
      <c r="D184">
        <v>21457772.463</v>
      </c>
      <c r="E184">
        <v>112761362.71249001</v>
      </c>
      <c r="F184">
        <v>2545.0540000000001</v>
      </c>
      <c r="G184">
        <v>21457771.550000001</v>
      </c>
      <c r="H184">
        <v>87865997.895480007</v>
      </c>
      <c r="J184" s="5">
        <f>'sv07'!$AA$3+'sv07'!$Z$3*($B184)+'sv07'!$Y$3*($B184)^2+'sv07'!$X$3*($B184)^3+'sv07'!$W$3*($B184)^4+'sv07'!$V$3*($B184)^5+'sv07'!$U$3*($B184)^6+'sv07'!$T$3*($B184)^7+'sv07'!$S$3*($B184)^8</f>
        <v>25006.596210362572</v>
      </c>
      <c r="K184" s="5">
        <f>'sv07'!$AA$4+'sv07'!$Z$4*($B184)+'sv07'!$Y$4*($B184)^2+'sv07'!$X$4*($B184)^3+'sv07'!$W$4*($B184)^4+'sv07'!$V$4*($B184)^5+'sv07'!$U$4*($B184)^6+'sv07'!$T$4*($B184)^7+'sv07'!$S$4*($B184)^8</f>
        <v>6537.25509047379</v>
      </c>
      <c r="L184" s="5">
        <f>'sv07'!$AA$5+'sv07'!$Z$5*($B184)+'sv07'!$Y$5*($B184)^2+'sv07'!$X$5*($B184)^3+'sv07'!$W$5*($B184)^4+'sv07'!$V$5*($B184)^5+'sv07'!$U$5*($B184)^6+'sv07'!$T$5*($B184)^7+'sv07'!$S$5*($B184)^8</f>
        <v>6477.6537852872898</v>
      </c>
      <c r="M184" s="5">
        <f>'sv07'!$AA$6+'sv07'!$Z$6*$B184+'sv07'!$Y$6*$B184^2+'sv07'!$X$6*$B184^3+'sv07'!$W$6*$B184^4+'sv07'!$V$6*$B184^5+'sv07'!$U$6*$B184^6+'sv07'!$T$6*$B184^7+'sv07'!$S$6*$B184^8</f>
        <v>-0.63810139267403687</v>
      </c>
      <c r="O184">
        <f>SQRT(($J184*1000-coord!$B$2)^2+($K184*1000-coord!$C$2)^2+($L184*1000-coord!$D$2)^2)/coord!$B$6</f>
        <v>7.1574690066795718E-2</v>
      </c>
      <c r="Q184" s="5">
        <f>'sv07'!$AA$3+'sv07'!$Z$3*($B184-$O184/3600)+'sv07'!$Y$3*($B184-$O184/3600)^2+'sv07'!$X$3*($B184-$O184/3600)^3+'sv07'!$W$3*($B184-$O184/3600)^4+'sv07'!$V$3*($B184-$O184/3600)^5+'sv07'!$U$3*($B184-$O184/3600)^6+'sv07'!$T$3*($B184-$O184/3600)^7+'sv07'!$S$3*($B184-$O184/3600)^8+K184*coord!$B$7*O184</f>
        <v>25006.690098695079</v>
      </c>
      <c r="R184" s="5">
        <f>'sv07'!$AA$4+'sv07'!$Z$4*($B184-$O184/3600)+'sv07'!$Y$4*($B184-$O184/3600)^2+'sv07'!$X$4*($B184-$O184/3600)^3+'sv07'!$W$4*($B184-$O184/3600)^4+'sv07'!$V$4*($B184-$O184/3600)^5+'sv07'!$U$4*($B184-$O184/3600)^6+'sv07'!$T$4*($B184-$O184/3600)^7+'sv07'!$S$4*($B184-$O184/3600)^8-J184*coord!$B$7*O184</f>
        <v>6537.1135705730831</v>
      </c>
      <c r="S184" s="5">
        <f>'sv07'!$AA$5+'sv07'!$Z$5*($B184-$O184/3600)+'sv07'!$Y$5*($B184-$O184/3600)^2+'sv07'!$X$5*($B184-$O184/3600)^3+'sv07'!$W$5*($B184-$O184/3600)^4+'sv07'!$V$5*($B184-$O184/3600)^5+'sv07'!$U$5*($B184-$O184/3600)^6+'sv07'!$T$5*($B184-$O184/3600)^7+'sv07'!$S$5*($B184-$O184/3600)^8</f>
        <v>6477.4357309408533</v>
      </c>
      <c r="T184">
        <f>coord!$B$6*M184/10^6</f>
        <v>-191.29798496297269</v>
      </c>
      <c r="U184">
        <f>SQRT(($Q184*1000+coord!$B$7*$O184*$R184*1000-coord!$B$2)^2+($R184*1000-coord!$B$7*$O184*$Q184*1000-coord!$C$2)^2+($S184*1000-coord!$D$2)^2)</f>
        <v>21457584.210935973</v>
      </c>
      <c r="V184" s="3">
        <f>$D184-(U184-$T184)-coord!$E$2</f>
        <v>-3.0459209345281124</v>
      </c>
      <c r="W184" s="3" t="s">
        <v>127</v>
      </c>
      <c r="X184" s="1" t="s">
        <v>128</v>
      </c>
      <c r="Y184">
        <f>-(Q184*1000-coord!$B$2)/$U184</f>
        <v>-0.96086361471144077</v>
      </c>
      <c r="Z184">
        <f>-(R184*1000-coord!$C$2)/$U184</f>
        <v>-0.26156454996050393</v>
      </c>
      <c r="AA184">
        <f>-(S184*1000-coord!$D$2)/$U184</f>
        <v>-9.124267845785855E-2</v>
      </c>
      <c r="AB184">
        <v>1</v>
      </c>
      <c r="BA184">
        <f>SQRT(($Q184*1000+coord!$B$7*$O184*$R184*1000-coord!$B$2-AX$178)^2+($R184*1000-coord!$B$7*$O184*$Q184*1000-coord!$C$2-AX$179)^2+($S184*1000-coord!$D$2-AX$180)^2)</f>
        <v>21457575.005903926</v>
      </c>
      <c r="BB184" s="3">
        <f t="shared" si="37"/>
        <v>-4.9681861278787665</v>
      </c>
      <c r="BC184" s="3" t="s">
        <v>127</v>
      </c>
      <c r="BD184" s="1" t="s">
        <v>128</v>
      </c>
      <c r="BE184" s="1"/>
      <c r="BF184" s="1"/>
      <c r="CD184" s="1"/>
      <c r="CE184" s="1"/>
      <c r="CF184" s="1"/>
    </row>
    <row r="185" spans="1:108">
      <c r="V185" s="3"/>
      <c r="W185" s="3">
        <f>AVERAGE($V178:$V184)</f>
        <v>-3.7440300349678313</v>
      </c>
      <c r="X185" s="1">
        <f>SQRT(DEVSQ($V178:$V184)/6)</f>
        <v>20.257329081274467</v>
      </c>
      <c r="BB185" s="3"/>
      <c r="BC185" s="3">
        <f>AVERAGE($BB178:$BB184)</f>
        <v>8.1750372649886624E-5</v>
      </c>
      <c r="BD185" s="1">
        <f>SQRT(DEVSQ($BB178:$BB184)/6)</f>
        <v>4.8212234982709337</v>
      </c>
      <c r="BE185" s="1"/>
      <c r="BF185" s="1"/>
      <c r="CD185" s="1"/>
      <c r="CE185" s="1"/>
      <c r="CF185" s="1"/>
    </row>
    <row r="186" spans="1:108">
      <c r="A186">
        <v>50</v>
      </c>
      <c r="B186">
        <f t="shared" ref="B186:B192" si="38">(60-45)/60+30*A186/3600</f>
        <v>0.66666666666666674</v>
      </c>
      <c r="C186">
        <v>2</v>
      </c>
      <c r="D186">
        <v>22297016.252999999</v>
      </c>
      <c r="E186">
        <v>117171617.94047999</v>
      </c>
      <c r="F186">
        <v>1811.3230000000001</v>
      </c>
      <c r="G186">
        <v>22297013.756999999</v>
      </c>
      <c r="H186">
        <v>91302548.970469996</v>
      </c>
      <c r="J186" s="5">
        <f>'sv02'!$AA$3+'sv02'!$Z$3*($B186)+'sv02'!$Y$3*($B186)^2+'sv02'!$X$3*($B186)^3+'sv02'!$W$3*($B186)^4+'sv02'!$V$3*($B186)^5+'sv02'!$U$3*($B186)^6+'sv02'!$T$3*($B186)^7+'sv02'!$S$3*($B186)^8</f>
        <v>9528.0876264403905</v>
      </c>
      <c r="K186" s="5">
        <f>'sv02'!$AA$4+'sv02'!$Z$4*($B186)+'sv02'!$Y$4*($B186)^2+'sv02'!$X$4*($B186)^3+'sv02'!$W$4*($B186)^4+'sv02'!$V$4*($B186)^5+'sv02'!$U$4*($B186)^6+'sv02'!$T$4*($B186)^7+'sv02'!$S$4*($B186)^8</f>
        <v>-14196.193907005671</v>
      </c>
      <c r="L186" s="5">
        <f>'sv02'!$AA$5+'sv02'!$Z$5*($B186)+'sv02'!$Y$5*($B186)^2+'sv02'!$X$5*($B186)^3+'sv02'!$W$5*($B186)^4+'sv02'!$V$5*($B186)^5+'sv02'!$U$5*($B186)^6+'sv02'!$T$5*($B186)^7+'sv02'!$S$5*($B186)^8</f>
        <v>20189.81588957697</v>
      </c>
      <c r="M186" s="5">
        <f>'sv02'!$AA$6+'sv02'!$Z$6*$B186+'sv02'!$Y$6*$B186^2+'sv02'!$X$6*$B186^3+'sv02'!$W$6*$B186^4+'sv02'!$V$6*$B186^5+'sv02'!$U$6*$B186^6+'sv02'!$T$6*$B186^7+'sv02'!$S$6*$B186^8</f>
        <v>257.59462152837136</v>
      </c>
      <c r="O186">
        <f>SQRT(($J186*1000-coord!$B$2)^2+($K186*1000-coord!$C$2)^2+($L186*1000-coord!$D$2)^2)/coord!$B$6</f>
        <v>7.4632311897338821E-2</v>
      </c>
      <c r="Q186" s="5">
        <f>'sv02'!$AA$3+'sv02'!$Z$3*($B186-$O186/3600)+'sv02'!$Y$3*($B186-$O186/3600)^2+'sv02'!$X$3*($B186-$O186/3600)^3+'sv02'!$W$3*($B186-$O186/3600)^4+'sv02'!$V$3*($B186-$O186/3600)^5+'sv02'!$U$3*($B186-$O186/3600)^6+'sv02'!$T$3*($B186-$O186/3600)^7+'sv02'!$S$3*($B186-$O186/3600)^8+K186*coord!$B$7*O186</f>
        <v>9527.8181513348882</v>
      </c>
      <c r="R186" s="5">
        <f>'sv02'!$AA$4+'sv02'!$Z$4*($B186-$O186/3600)+'sv02'!$Y$4*($B186-$O186/3600)^2+'sv02'!$X$4*($B186-$O186/3600)^3+'sv02'!$W$4*($B186-$O186/3600)^4+'sv02'!$V$4*($B186-$O186/3600)^5+'sv02'!$U$4*($B186-$O186/3600)^6+'sv02'!$T$4*($B186-$O186/3600)^7+'sv02'!$S$4*($B186-$O186/3600)^8-J186*coord!$B$7*O186</f>
        <v>-14196.267699874905</v>
      </c>
      <c r="S186" s="5">
        <f>'sv02'!$AA$5+'sv02'!$Z$5*($B186-$O186/3600)+'sv02'!$Y$5*($B186-$O186/3600)^2+'sv02'!$X$5*($B186-$O186/3600)^3+'sv02'!$W$5*($B186-$O186/3600)^4+'sv02'!$V$5*($B186-$O186/3600)^5+'sv02'!$U$5*($B186-$O186/3600)^6+'sv02'!$T$5*($B186-$O186/3600)^7+'sv02'!$S$5*($B186-$O186/3600)^8</f>
        <v>20189.894491035488</v>
      </c>
      <c r="T186">
        <f>coord!$B$6*M186/10^6</f>
        <v>77224.924755570173</v>
      </c>
      <c r="U186">
        <f>SQRT(($Q186*1000+coord!$B$7*$O186*$R186*1000-coord!$B$2)^2+($R186*1000-coord!$B$7*$O186*$Q186*1000-coord!$C$2)^2+($S186*1000-coord!$D$2)^2)</f>
        <v>22374264.55338135</v>
      </c>
      <c r="V186" s="3">
        <f>$D186-(U186-$T186)-coord!$E$2</f>
        <v>-23.375625781714916</v>
      </c>
      <c r="W186" s="3"/>
      <c r="Y186">
        <f>-(Q186*1000-coord!$B$2)/$U186</f>
        <v>-0.22968084462728208</v>
      </c>
      <c r="Z186">
        <f>-(R186*1000-coord!$C$2)/$U186</f>
        <v>0.67581385198154997</v>
      </c>
      <c r="AA186">
        <f>-(S186*1000-coord!$D$2)/$U186</f>
        <v>-0.70037190180480302</v>
      </c>
      <c r="AB186">
        <v>1</v>
      </c>
      <c r="AD186">
        <f t="array" ref="AD186:AJ189">TRANSPOSE(Y186:AB192)</f>
        <v>-0.22968084462728208</v>
      </c>
      <c r="AE186">
        <v>-0.13291359875092051</v>
      </c>
      <c r="AF186">
        <v>-0.19560733940145114</v>
      </c>
      <c r="AG186">
        <v>-0.87305743491477028</v>
      </c>
      <c r="AH186">
        <v>-0.41402914787798156</v>
      </c>
      <c r="AI186">
        <v>-0.42328124677744305</v>
      </c>
      <c r="AJ186">
        <v>-0.95978961780839911</v>
      </c>
      <c r="AL186">
        <f t="array" ref="AL186:AO189">MMULT(AD186:AJ189,Y186:AB192)</f>
        <v>2.1426940906281224</v>
      </c>
      <c r="AM186">
        <v>0.22873004877948805</v>
      </c>
      <c r="AN186">
        <v>1.1196615840603945</v>
      </c>
      <c r="AO186">
        <v>-3.2283592301582482</v>
      </c>
      <c r="AQ186">
        <f t="array" ref="AQ186:AT189">MINVERSE(AL186:AO189)</f>
        <v>2.6457679109641834</v>
      </c>
      <c r="AR186">
        <v>0.31629025697606877</v>
      </c>
      <c r="AS186">
        <v>1.7194106330631702</v>
      </c>
      <c r="AT186">
        <v>2.0650038956916497</v>
      </c>
      <c r="AV186">
        <f t="array" ref="AV186:AV189">MMULT(AD186:AJ189,V186:V192)</f>
        <v>11.498823446921435</v>
      </c>
      <c r="AX186">
        <f t="array" ref="AX186:AX189">MMULT(AQ186:AT189,AV186:AV189)</f>
        <v>14.909301701494279</v>
      </c>
      <c r="BA186">
        <f>SQRT(($Q186*1000+coord!$B$7*$O186*$R186*1000-coord!$B$2-AX$186)^2+($R186*1000-coord!$B$7*$O186*$Q186*1000-coord!$C$2-AX$187)^2+($S186*1000-coord!$D$2-AX$188)^2)</f>
        <v>22374236.835250866</v>
      </c>
      <c r="BB186" s="3">
        <f>$D186-(BA186-$T186)-AX$189</f>
        <v>-7.100408238889365</v>
      </c>
      <c r="BD186" s="1">
        <f>coord!$B$2+$AX186</f>
        <v>4388893.0801017024</v>
      </c>
      <c r="BE186" s="1">
        <f>coord!$C$2+$AX187</f>
        <v>924553.14611542155</v>
      </c>
      <c r="BF186" s="1">
        <f>coord!$D$2+$AX188</f>
        <v>4519606.4926079139</v>
      </c>
      <c r="BG186" s="1">
        <f>coord!$E$2+$AX189</f>
        <v>11.442912941397815</v>
      </c>
      <c r="BH186" s="8">
        <f>lat($BD186,$BE186,$BF186)</f>
        <v>45.411215409993943</v>
      </c>
      <c r="BI186" s="8">
        <f>lon($BD186,$BE186,$BF186)</f>
        <v>11.895853932798882</v>
      </c>
      <c r="BJ186" s="6">
        <f>h($BD186,$BE186,$BF186)</f>
        <v>82.867565304972231</v>
      </c>
      <c r="BL186">
        <f>grado($BH186)</f>
        <v>45</v>
      </c>
      <c r="BM186">
        <f>MINUTOprimo($BH186)</f>
        <v>24</v>
      </c>
      <c r="BN186">
        <f>MINUTOsecondo($BH186)</f>
        <v>40.375475978195254</v>
      </c>
      <c r="BO186">
        <f>grado($BI186)</f>
        <v>11</v>
      </c>
      <c r="BP186">
        <f>MINUTOprimo($BI186)</f>
        <v>53</v>
      </c>
      <c r="BQ186">
        <f>MINUTOsecondo($BI186)</f>
        <v>45.074158075976527</v>
      </c>
      <c r="BS186">
        <f>-SIN(RADIANS(BH186))*COS(RADIANS(BI186))</f>
        <v>-0.69686898470284941</v>
      </c>
      <c r="BT186">
        <f>-SIN(RADIANS(BI186))</f>
        <v>-0.20613337747722013</v>
      </c>
      <c r="BU186">
        <f>COS(RADIANS(BH186))*COS(RADIANS(BI186))</f>
        <v>0.68693715058151716</v>
      </c>
      <c r="BW186" t="s">
        <v>93</v>
      </c>
      <c r="BX186">
        <f t="array" ref="BX186:BZ188">MINVERSE(BS186:BU188)</f>
        <v>-0.69686898470284919</v>
      </c>
      <c r="BY186">
        <v>-0.1468006625994874</v>
      </c>
      <c r="BZ186">
        <v>0.70201366341373395</v>
      </c>
      <c r="CA186">
        <v>0</v>
      </c>
      <c r="CB186" s="1">
        <f t="array" ref="CB186:CB188">MMULT(BX186:BZ188,AX186:AX188)</f>
        <v>4.9051304654670647</v>
      </c>
      <c r="CD186" s="1">
        <f t="array" ref="CD186:CF186">TRANSPOSE(CB186:CB188)</f>
        <v>4.9051304654670647</v>
      </c>
      <c r="CE186" s="1">
        <v>-19.773854947036174</v>
      </c>
      <c r="CF186" s="1">
        <v>20.746415404608307</v>
      </c>
      <c r="CH186">
        <f t="array" ref="CH186:CK189">MMULT(BX186:CA189,AQ186:AT189)</f>
        <v>-0.68313545974163414</v>
      </c>
      <c r="CI186">
        <v>8.8713926146902045E-2</v>
      </c>
      <c r="CJ186">
        <v>0.58672471534875559</v>
      </c>
      <c r="CK186">
        <v>-2.7771588210123044E-2</v>
      </c>
      <c r="CM186">
        <f t="array" ref="CM186:CP189">TRANSPOSE(BX186:CA189)</f>
        <v>-0.69686898470284919</v>
      </c>
      <c r="CN186">
        <v>-0.2061333774772201</v>
      </c>
      <c r="CO186">
        <v>0.68693715058151694</v>
      </c>
      <c r="CP186">
        <v>0</v>
      </c>
      <c r="CR186" s="5">
        <f t="array" ref="CR186:CU189">MMULT(CH186:CK189,CM186:CP189)</f>
        <v>0.87492141794185962</v>
      </c>
      <c r="CS186" s="5">
        <v>0.22762571694299716</v>
      </c>
      <c r="CT186" s="5">
        <v>-3.8589558985329064E-2</v>
      </c>
      <c r="CU186" s="5">
        <v>-2.7771588210123044E-2</v>
      </c>
      <c r="CW186" s="3">
        <f>SQRT(CR186+CS187)</f>
        <v>1.1669662129881742</v>
      </c>
      <c r="CX186" s="3">
        <f>CT188</f>
        <v>4.4658950656634406</v>
      </c>
      <c r="CY186" s="3">
        <f>CU189</f>
        <v>2.130553746173351</v>
      </c>
      <c r="CZ186" s="3">
        <f>BB193</f>
        <v>0</v>
      </c>
      <c r="DA186">
        <v>6</v>
      </c>
      <c r="DB186" s="6">
        <f>CY186*DA186*CZ186</f>
        <v>0</v>
      </c>
      <c r="DC186">
        <v>5.33</v>
      </c>
      <c r="DD186" s="6">
        <f>CZ186*DC186*SQRT(0.5*(CR186+CS187)+SQRT((0.5*(CR186-CS187))^2+CS186^2))</f>
        <v>0</v>
      </c>
    </row>
    <row r="187" spans="1:108">
      <c r="A187">
        <v>50</v>
      </c>
      <c r="B187">
        <f t="shared" si="38"/>
        <v>0.66666666666666674</v>
      </c>
      <c r="C187">
        <v>23</v>
      </c>
      <c r="D187">
        <v>21407651.826000001</v>
      </c>
      <c r="E187">
        <v>112497964.26949</v>
      </c>
      <c r="F187">
        <v>-2150.4059999999999</v>
      </c>
      <c r="G187">
        <v>21407648.307999998</v>
      </c>
      <c r="H187">
        <v>87660737.037469998</v>
      </c>
      <c r="J187" s="5">
        <f>'sv23'!$AA$3+'sv23'!$Z$3*($B187)+'sv23'!$Y$3*($B187)^2+'sv23'!$X$3*($B187)^3+'sv23'!$W$3*($B187)^4+'sv23'!$V$3*($B187)^5+'sv23'!$U$3*($B187)^6+'sv23'!$T$3*($B187)^7+'sv23'!$S$3*($B187)^8</f>
        <v>7248.7999489720632</v>
      </c>
      <c r="K187" s="5">
        <f>'sv23'!$AA$4+'sv23'!$Z$4*($B187)+'sv23'!$Y$4*($B187)^2+'sv23'!$X$4*($B187)^3+'sv23'!$W$4*($B187)^4+'sv23'!$V$4*($B187)^5+'sv23'!$U$4*($B187)^6+'sv23'!$T$4*($B187)^7+'sv23'!$S$4*($B187)^8</f>
        <v>14680.138868854916</v>
      </c>
      <c r="L187" s="5">
        <f>'sv23'!$AA$5+'sv23'!$Z$5*($B187)+'sv23'!$Y$5*($B187)^2+'sv23'!$X$5*($B187)^3+'sv23'!$W$5*($B187)^4+'sv23'!$V$5*($B187)^5+'sv23'!$U$5*($B187)^6+'sv23'!$T$5*($B187)^7+'sv23'!$S$5*($B187)^8</f>
        <v>20818.584705003526</v>
      </c>
      <c r="M187" s="5">
        <f>'sv23'!$AA$6+'sv23'!$Z$6*$B187+'sv23'!$Y$6*$B187^2+'sv23'!$X$6*$B187^3+'sv23'!$W$6*$B187^4+'sv23'!$V$6*$B187^5+'sv23'!$U$6*$B187^6+'sv23'!$T$6*$B187^7+'sv23'!$S$6*$B187^8</f>
        <v>370.05553277738778</v>
      </c>
      <c r="O187">
        <f>SQRT(($J187*1000-coord!$B$2)^2+($K187*1000-coord!$C$2)^2+($L187*1000-coord!$D$2)^2)/coord!$B$6</f>
        <v>7.177847532459658E-2</v>
      </c>
      <c r="Q187" s="5">
        <f>'sv23'!$AA$3+'sv23'!$Z$3*($B187-$O187/3600)+'sv23'!$Y$3*($B187-$O187/3600)^2+'sv23'!$X$3*($B187-$O187/3600)^3+'sv23'!$W$3*($B187-$O187/3600)^4+'sv23'!$V$3*($B187-$O187/3600)^5+'sv23'!$U$3*($B187-$O187/3600)^6+'sv23'!$T$3*($B187-$O187/3600)^7+'sv23'!$S$3*($B187-$O187/3600)^8+K187*coord!$B$7*O187</f>
        <v>7248.9911522361381</v>
      </c>
      <c r="R187" s="5">
        <f>'sv23'!$AA$4+'sv23'!$Z$4*($B187-$O187/3600)+'sv23'!$Y$4*($B187-$O187/3600)^2+'sv23'!$X$4*($B187-$O187/3600)^3+'sv23'!$W$4*($B187-$O187/3600)^4+'sv23'!$V$4*($B187-$O187/3600)^5+'sv23'!$U$4*($B187-$O187/3600)^6+'sv23'!$T$4*($B187-$O187/3600)^7+'sv23'!$S$4*($B187-$O187/3600)^8-J187*coord!$B$7*O187</f>
        <v>14679.948324219755</v>
      </c>
      <c r="S187" s="5">
        <f>'sv23'!$AA$5+'sv23'!$Z$5*($B187-$O187/3600)+'sv23'!$Y$5*($B187-$O187/3600)^2+'sv23'!$X$5*($B187-$O187/3600)^3+'sv23'!$W$5*($B187-$O187/3600)^4+'sv23'!$V$5*($B187-$O187/3600)^5+'sv23'!$U$5*($B187-$O187/3600)^6+'sv23'!$T$5*($B187-$O187/3600)^7+'sv23'!$S$5*($B187-$O187/3600)^8</f>
        <v>20818.654624923791</v>
      </c>
      <c r="T187">
        <f>coord!$B$6*M187/10^6</f>
        <v>110939.85776783265</v>
      </c>
      <c r="U187">
        <f>SQRT(($Q187*1000+coord!$B$7*$O187*$R187*1000-coord!$B$2)^2+($R187*1000-coord!$B$7*$O187*$Q187*1000-coord!$C$2)^2+($S187*1000-coord!$D$2)^2)</f>
        <v>21518588.07762761</v>
      </c>
      <c r="V187" s="3">
        <f>$D187-(U187-$T187)-coord!$E$2</f>
        <v>3.6061402224004269</v>
      </c>
      <c r="W187" s="3"/>
      <c r="Y187">
        <f>-(Q187*1000-coord!$B$2)/$U187</f>
        <v>-0.13291359875092051</v>
      </c>
      <c r="Z187">
        <f>-(R187*1000-coord!$C$2)/$U187</f>
        <v>-0.63923237256076804</v>
      </c>
      <c r="AA187">
        <f>-(S187*1000-coord!$D$2)/$U187</f>
        <v>-0.75744125459465261</v>
      </c>
      <c r="AB187">
        <v>1</v>
      </c>
      <c r="AD187">
        <v>0.67581385198154997</v>
      </c>
      <c r="AE187">
        <v>-0.63923237256076804</v>
      </c>
      <c r="AF187">
        <v>0.70185648352728336</v>
      </c>
      <c r="AG187">
        <v>0.35744131361829107</v>
      </c>
      <c r="AH187">
        <v>-0.90820312605807474</v>
      </c>
      <c r="AI187">
        <v>-0.28473098491342141</v>
      </c>
      <c r="AJ187">
        <v>-0.26234925704402473</v>
      </c>
      <c r="AL187">
        <v>0.22873004877948805</v>
      </c>
      <c r="AM187">
        <v>2.46044098943324</v>
      </c>
      <c r="AN187">
        <v>-0.3729238815069803</v>
      </c>
      <c r="AO187">
        <v>-0.35940409144916458</v>
      </c>
      <c r="AQ187">
        <v>0.31629025697606888</v>
      </c>
      <c r="AR187">
        <v>0.5243428801953065</v>
      </c>
      <c r="AS187">
        <v>0.54999026195828249</v>
      </c>
      <c r="AT187">
        <v>0.43782277753607968</v>
      </c>
      <c r="AV187">
        <v>-49.489020992489188</v>
      </c>
      <c r="AX187">
        <v>-17.067084578409776</v>
      </c>
      <c r="BA187">
        <f>SQRT(($Q187*1000+coord!$B$7*$O187*$R187*1000-coord!$B$2-AX$186)^2+($R187*1000-coord!$B$7*$O187*$Q187*1000-coord!$C$2-AX$187)^2+($S187*1000-coord!$D$2-AX$188)^2)</f>
        <v>21518583.206449393</v>
      </c>
      <c r="BB187" s="3">
        <f t="shared" ref="BB187:BB192" si="39">$D187-(BA187-$T187)-AX$189</f>
        <v>-2.9655945017651604</v>
      </c>
      <c r="BD187" s="1"/>
      <c r="BE187" s="1"/>
      <c r="BF187" s="1"/>
      <c r="BS187">
        <f>-SIN(RADIANS(BH186))*SIN(RADIANS(BI186))</f>
        <v>-0.14680066259948746</v>
      </c>
      <c r="BT187">
        <f>COS(RADIANS(BI186))</f>
        <v>0.97852390399511135</v>
      </c>
      <c r="BU187">
        <f>COS(RADIANS(BH186))*SIN(RADIANS(BI186))</f>
        <v>0.14470844747462941</v>
      </c>
      <c r="BW187" t="s">
        <v>94</v>
      </c>
      <c r="BX187">
        <v>-0.2061333774772201</v>
      </c>
      <c r="BY187">
        <v>0.97852390399511124</v>
      </c>
      <c r="BZ187">
        <v>0</v>
      </c>
      <c r="CA187">
        <v>0</v>
      </c>
      <c r="CB187" s="1">
        <v>-19.773854947036174</v>
      </c>
      <c r="CD187" s="1"/>
      <c r="CE187" s="1"/>
      <c r="CF187" s="1"/>
      <c r="CH187">
        <v>-0.23588349845605616</v>
      </c>
      <c r="CI187">
        <v>0.44788406322713731</v>
      </c>
      <c r="CJ187">
        <v>0.18375069722715598</v>
      </c>
      <c r="CK187">
        <v>2.7538260100509193E-3</v>
      </c>
      <c r="CM187">
        <v>-0.1468006625994874</v>
      </c>
      <c r="CN187">
        <v>0.97852390399511124</v>
      </c>
      <c r="CO187">
        <v>0.14470844747462935</v>
      </c>
      <c r="CP187">
        <v>0</v>
      </c>
      <c r="CR187" s="5">
        <v>0.2276257169429971</v>
      </c>
      <c r="CS187" s="5">
        <v>0.48688872431410113</v>
      </c>
      <c r="CT187" s="5">
        <v>3.3636004372669739E-2</v>
      </c>
      <c r="CU187" s="5">
        <v>2.7538260100509193E-3</v>
      </c>
    </row>
    <row r="188" spans="1:108">
      <c r="A188">
        <v>50</v>
      </c>
      <c r="B188">
        <f t="shared" si="38"/>
        <v>0.66666666666666674</v>
      </c>
      <c r="C188">
        <v>10</v>
      </c>
      <c r="D188">
        <v>22485957.995999999</v>
      </c>
      <c r="E188">
        <v>118164511.96748</v>
      </c>
      <c r="F188">
        <v>2888.1680000000001</v>
      </c>
      <c r="G188">
        <v>22485957.611000001</v>
      </c>
      <c r="H188">
        <v>92076247.279459998</v>
      </c>
      <c r="J188" s="5">
        <f>'sv10'!$AA$3+'sv10'!$Z$3*($B188)+'sv10'!$Y$3*($B188)^2+'sv10'!$X$3*($B188)^3+'sv10'!$W$3*($B188)^4+'sv10'!$V$3*($B188)^5+'sv10'!$U$3*($B188)^6+'sv10'!$T$3*($B188)^7+'sv10'!$S$3*($B188)^8</f>
        <v>8784.9473214138416</v>
      </c>
      <c r="K188" s="5">
        <f>'sv10'!$AA$4+'sv10'!$Z$4*($B188)+'sv10'!$Y$4*($B188)^2+'sv10'!$X$4*($B188)^3+'sv10'!$W$4*($B188)^4+'sv10'!$V$4*($B188)^5+'sv10'!$U$4*($B188)^6+'sv10'!$T$4*($B188)^7+'sv10'!$S$4*($B188)^8</f>
        <v>-14848.084505072553</v>
      </c>
      <c r="L188" s="5">
        <f>'sv10'!$AA$5+'sv10'!$Z$5*($B188)+'sv10'!$Y$5*($B188)^2+'sv10'!$X$5*($B188)^3+'sv10'!$W$5*($B188)^4+'sv10'!$V$5*($B188)^5+'sv10'!$U$5*($B188)^6+'sv10'!$T$5*($B188)^7+'sv10'!$S$5*($B188)^8</f>
        <v>19912.238343953031</v>
      </c>
      <c r="M188" s="5">
        <f>'sv10'!$AA$6+'sv10'!$Z$6*$B188+'sv10'!$Y$6*$B188^2+'sv10'!$X$6*$B188^3+'sv10'!$W$6*$B188^4+'sv10'!$V$6*$B188^5+'sv10'!$U$6*$B188^6+'sv10'!$T$6*$B188^7+'sv10'!$S$6*$B188^8</f>
        <v>-43.001942463477526</v>
      </c>
      <c r="O188">
        <f>SQRT(($J188*1000-coord!$B$2)^2+($K188*1000-coord!$C$2)^2+($L188*1000-coord!$D$2)^2)/coord!$B$6</f>
        <v>7.4961859708012613E-2</v>
      </c>
      <c r="Q188" s="5">
        <f>'sv10'!$AA$3+'sv10'!$Z$3*($B188-$O188/3600)+'sv10'!$Y$3*($B188-$O188/3600)^2+'sv10'!$X$3*($B188-$O188/3600)^3+'sv10'!$W$3*($B188-$O188/3600)^4+'sv10'!$V$3*($B188-$O188/3600)^5+'sv10'!$U$3*($B188-$O188/3600)^6+'sv10'!$T$3*($B188-$O188/3600)^7+'sv10'!$S$3*($B188-$O188/3600)^8+K188*coord!$B$7*O188</f>
        <v>8784.7769773070122</v>
      </c>
      <c r="R188" s="5">
        <f>'sv10'!$AA$4+'sv10'!$Z$4*($B188-$O188/3600)+'sv10'!$Y$4*($B188-$O188/3600)^2+'sv10'!$X$4*($B188-$O188/3600)^3+'sv10'!$W$4*($B188-$O188/3600)^4+'sv10'!$V$4*($B188-$O188/3600)^5+'sv10'!$U$4*($B188-$O188/3600)^6+'sv10'!$T$4*($B188-$O188/3600)^7+'sv10'!$S$4*($B188-$O188/3600)^8-J188*coord!$B$7*O188</f>
        <v>-14848.304606924998</v>
      </c>
      <c r="S188" s="5">
        <f>'sv10'!$AA$5+'sv10'!$Z$5*($B188-$O188/3600)+'sv10'!$Y$5*($B188-$O188/3600)^2+'sv10'!$X$5*($B188-$O188/3600)^3+'sv10'!$W$5*($B188-$O188/3600)^4+'sv10'!$V$5*($B188-$O188/3600)^5+'sv10'!$U$5*($B188-$O188/3600)^6+'sv10'!$T$5*($B188-$O188/3600)^7+'sv10'!$S$5*($B188-$O188/3600)^8</f>
        <v>19912.147634231962</v>
      </c>
      <c r="T188">
        <f>coord!$B$6*M188/10^6</f>
        <v>-12891.658029900504</v>
      </c>
      <c r="U188">
        <f>SQRT(($Q188*1000+coord!$B$7*$O188*$R188*1000-coord!$B$2)^2+($R188*1000-coord!$B$7*$O188*$Q188*1000-coord!$C$2)^2+($S188*1000-coord!$D$2)^2)</f>
        <v>22473077.032580916</v>
      </c>
      <c r="V188" s="3">
        <f>$D188-(U188-$T188)-coord!$E$2</f>
        <v>-10.694610815495253</v>
      </c>
      <c r="W188" s="3"/>
      <c r="Y188">
        <f>-(Q188*1000-coord!$B$2)/$U188</f>
        <v>-0.19560733940145114</v>
      </c>
      <c r="Z188">
        <f>-(R188*1000-coord!$C$2)/$U188</f>
        <v>0.70185648352728336</v>
      </c>
      <c r="AA188">
        <f>-(S188*1000-coord!$D$2)/$U188</f>
        <v>-0.68493332433365528</v>
      </c>
      <c r="AB188">
        <v>1</v>
      </c>
      <c r="AD188">
        <v>-0.70037190180480302</v>
      </c>
      <c r="AE188">
        <v>-0.75744125459465261</v>
      </c>
      <c r="AF188">
        <v>-0.68493332433365528</v>
      </c>
      <c r="AG188">
        <v>-0.33167041889405313</v>
      </c>
      <c r="AH188">
        <v>6.1226623001536924E-2</v>
      </c>
      <c r="AI188">
        <v>-0.86009398898402634</v>
      </c>
      <c r="AJ188">
        <v>-9.9884359530532874E-2</v>
      </c>
      <c r="AL188">
        <v>1.1196615840603945</v>
      </c>
      <c r="AM188">
        <v>-0.3729238815069803</v>
      </c>
      <c r="AN188">
        <v>2.3968642350811584</v>
      </c>
      <c r="AO188">
        <v>-3.373168625140186</v>
      </c>
      <c r="AQ188">
        <v>1.7194106330631707</v>
      </c>
      <c r="AR188">
        <v>0.54999026195828238</v>
      </c>
      <c r="AS188">
        <v>2.6575944167599124</v>
      </c>
      <c r="AT188">
        <v>2.1018654347212848</v>
      </c>
      <c r="AV188">
        <v>28.126031536483691</v>
      </c>
      <c r="AX188">
        <v>18.218307914223978</v>
      </c>
      <c r="BA188">
        <f>SQRT(($Q188*1000+coord!$B$7*$O188*$R188*1000-coord!$B$2-AX$186)^2+($R188*1000-coord!$B$7*$O188*$Q188*1000-coord!$C$2-AX$187)^2+($S188*1000-coord!$D$2-AX$188)^2)</f>
        <v>22473049.659261428</v>
      </c>
      <c r="BB188" s="3">
        <f t="shared" si="39"/>
        <v>5.235795731125684</v>
      </c>
      <c r="BD188" s="1"/>
      <c r="BE188" s="1"/>
      <c r="BF188" s="1"/>
      <c r="BS188">
        <f>COS(RADIANS(BH186))</f>
        <v>0.70201366341373406</v>
      </c>
      <c r="BT188">
        <v>0</v>
      </c>
      <c r="BU188">
        <f>SIN(RADIANS(BH186))</f>
        <v>0.71216347588206785</v>
      </c>
      <c r="BW188" t="s">
        <v>95</v>
      </c>
      <c r="BX188">
        <v>0.68693715058151694</v>
      </c>
      <c r="BY188">
        <v>0.14470844747462935</v>
      </c>
      <c r="BZ188">
        <v>0.71216347588206774</v>
      </c>
      <c r="CA188">
        <v>0</v>
      </c>
      <c r="CB188" s="1">
        <v>20.746415404608307</v>
      </c>
      <c r="CD188" s="1"/>
      <c r="CE188" s="1"/>
      <c r="CF188" s="1"/>
      <c r="CH188">
        <v>3.0877475948069613</v>
      </c>
      <c r="CI188">
        <v>0.68483134867877415</v>
      </c>
      <c r="CJ188">
        <v>3.1533569552146403</v>
      </c>
      <c r="CK188">
        <v>2.9787563402799133</v>
      </c>
      <c r="CM188">
        <v>0.70201366341373395</v>
      </c>
      <c r="CN188">
        <v>0</v>
      </c>
      <c r="CO188">
        <v>0.71216347588206774</v>
      </c>
      <c r="CP188">
        <v>0</v>
      </c>
      <c r="CR188" s="5">
        <v>-3.8589558985328676E-2</v>
      </c>
      <c r="CS188" s="5">
        <v>3.3636004372669559E-2</v>
      </c>
      <c r="CT188" s="5">
        <v>4.4658950656634406</v>
      </c>
      <c r="CU188" s="5">
        <v>2.9787563402799133</v>
      </c>
    </row>
    <row r="189" spans="1:108">
      <c r="A189">
        <v>50</v>
      </c>
      <c r="B189">
        <f t="shared" si="38"/>
        <v>0.66666666666666674</v>
      </c>
      <c r="C189">
        <v>4</v>
      </c>
      <c r="D189">
        <v>21332051.868000001</v>
      </c>
      <c r="E189">
        <v>112100685.43649</v>
      </c>
      <c r="F189">
        <v>-1445.941</v>
      </c>
      <c r="G189">
        <v>21332051.397</v>
      </c>
      <c r="H189">
        <v>87351179.603469998</v>
      </c>
      <c r="J189" s="5">
        <f>'sv04'!$AA$3+'sv04'!$Z$3*($B189)+'sv04'!$Y$3*($B189)^2+'sv04'!$X$3*($B189)^3+'sv04'!$W$3*($B189)^4+'sv04'!$V$3*($B189)^5+'sv04'!$U$3*($B189)^6+'sv04'!$T$3*($B189)^7+'sv04'!$S$3*($B189)^8</f>
        <v>23035.800951239056</v>
      </c>
      <c r="K189" s="5">
        <f>'sv04'!$AA$4+'sv04'!$Z$4*($B189)+'sv04'!$Y$4*($B189)^2+'sv04'!$X$4*($B189)^3+'sv04'!$W$4*($B189)^4+'sv04'!$V$4*($B189)^5+'sv04'!$U$4*($B189)^6+'sv04'!$T$4*($B189)^7+'sv04'!$S$4*($B189)^8</f>
        <v>-6709.5233872198332</v>
      </c>
      <c r="L189" s="5">
        <f>'sv04'!$AA$5+'sv04'!$Z$5*($B189)+'sv04'!$Y$5*($B189)^2+'sv04'!$X$5*($B189)^3+'sv04'!$W$5*($B189)^4+'sv04'!$V$5*($B189)^5+'sv04'!$U$5*($B189)^6+'sv04'!$T$5*($B189)^7+'sv04'!$S$5*($B189)^8</f>
        <v>11603.227859600698</v>
      </c>
      <c r="M189" s="5">
        <f>'sv04'!$AA$6+'sv04'!$Z$6*$B189+'sv04'!$Y$6*$B189^2+'sv04'!$X$6*$B189^3+'sv04'!$W$6*$B189^4+'sv04'!$V$6*$B189^5+'sv04'!$U$6*$B189^6+'sv04'!$T$6*$B189^7+'sv04'!$S$6*$B189^8</f>
        <v>86.607194779959812</v>
      </c>
      <c r="O189">
        <f>SQRT(($J189*1000-coord!$B$2)^2+($K189*1000-coord!$C$2)^2+($L189*1000-coord!$D$2)^2)/coord!$B$6</f>
        <v>7.1242689736523868E-2</v>
      </c>
      <c r="Q189" s="5">
        <f>'sv04'!$AA$3+'sv04'!$Z$3*($B189-$O189/3600)+'sv04'!$Y$3*($B189-$O189/3600)^2+'sv04'!$X$3*($B189-$O189/3600)^3+'sv04'!$W$3*($B189-$O189/3600)^4+'sv04'!$V$3*($B189-$O189/3600)^5+'sv04'!$U$3*($B189-$O189/3600)^6+'sv04'!$T$3*($B189-$O189/3600)^7+'sv04'!$S$3*($B189-$O189/3600)^8+K189*coord!$B$7*O189</f>
        <v>23035.661715800052</v>
      </c>
      <c r="R189" s="5">
        <f>'sv04'!$AA$4+'sv04'!$Z$4*($B189-$O189/3600)+'sv04'!$Y$4*($B189-$O189/3600)^2+'sv04'!$X$4*($B189-$O189/3600)^3+'sv04'!$W$4*($B189-$O189/3600)^4+'sv04'!$V$4*($B189-$O189/3600)^5+'sv04'!$U$4*($B189-$O189/3600)^6+'sv04'!$T$4*($B189-$O189/3600)^7+'sv04'!$S$4*($B189-$O189/3600)^8-J189*coord!$B$7*O189</f>
        <v>-6709.6707181900601</v>
      </c>
      <c r="S189" s="5">
        <f>'sv04'!$AA$5+'sv04'!$Z$5*($B189-$O189/3600)+'sv04'!$Y$5*($B189-$O189/3600)^2+'sv04'!$X$5*($B189-$O189/3600)^3+'sv04'!$W$5*($B189-$O189/3600)^4+'sv04'!$V$5*($B189-$O189/3600)^5+'sv04'!$U$5*($B189-$O189/3600)^6+'sv04'!$T$5*($B189-$O189/3600)^7+'sv04'!$S$5*($B189-$O189/3600)^8</f>
        <v>11603.4137616812</v>
      </c>
      <c r="T189">
        <f>coord!$B$6*M189/10^6</f>
        <v>25964.183803568922</v>
      </c>
      <c r="U189">
        <f>SQRT(($Q189*1000+coord!$B$7*$O189*$R189*1000-coord!$B$2)^2+($R189*1000-coord!$B$7*$O189*$Q189*1000-coord!$C$2)^2+($S189*1000-coord!$D$2)^2)</f>
        <v>21358026.172493897</v>
      </c>
      <c r="V189" s="3">
        <f>$D189-(U189-$T189)-coord!$E$2</f>
        <v>-10.120690327137709</v>
      </c>
      <c r="W189" s="3"/>
      <c r="Y189">
        <f>-(Q189*1000-coord!$B$2)/$U189</f>
        <v>-0.87305743491477028</v>
      </c>
      <c r="Z189">
        <f>-(R189*1000-coord!$C$2)/$U189</f>
        <v>0.35744131361829107</v>
      </c>
      <c r="AA189">
        <f>-(S189*1000-coord!$D$2)/$U189</f>
        <v>-0.33167041889405313</v>
      </c>
      <c r="AB189">
        <v>1</v>
      </c>
      <c r="AD189">
        <v>1</v>
      </c>
      <c r="AE189">
        <v>1</v>
      </c>
      <c r="AF189">
        <v>1</v>
      </c>
      <c r="AG189">
        <v>1</v>
      </c>
      <c r="AH189">
        <v>1</v>
      </c>
      <c r="AI189">
        <v>1</v>
      </c>
      <c r="AJ189">
        <v>1</v>
      </c>
      <c r="AL189">
        <v>-3.2283592301582482</v>
      </c>
      <c r="AM189">
        <v>-0.35940409144916458</v>
      </c>
      <c r="AN189">
        <v>-3.373168625140186</v>
      </c>
      <c r="AO189">
        <v>7</v>
      </c>
      <c r="AQ189">
        <v>2.0650038956916497</v>
      </c>
      <c r="AR189">
        <v>0.43782277753607973</v>
      </c>
      <c r="AS189">
        <v>2.1018654347212848</v>
      </c>
      <c r="AT189">
        <v>2.130553746173351</v>
      </c>
      <c r="AV189">
        <v>-23.351635806262493</v>
      </c>
      <c r="AX189">
        <v>11.442912941397815</v>
      </c>
      <c r="BA189">
        <f>SQRT(($Q189*1000+coord!$B$7*$O189*$R189*1000-coord!$B$2-AX$186)^2+($R189*1000-coord!$B$7*$O189*$Q189*1000-coord!$C$2-AX$187)^2+($S189*1000-coord!$D$2-AX$188)^2)</f>
        <v>21358001.012795925</v>
      </c>
      <c r="BB189" s="3">
        <f t="shared" si="39"/>
        <v>3.5960947037025406</v>
      </c>
      <c r="BD189" s="1"/>
      <c r="BE189" s="1"/>
      <c r="BF189" s="1"/>
      <c r="BX189">
        <v>0</v>
      </c>
      <c r="BY189">
        <v>0</v>
      </c>
      <c r="BZ189">
        <v>0</v>
      </c>
      <c r="CA189">
        <v>1</v>
      </c>
      <c r="CD189" s="1"/>
      <c r="CE189" s="1"/>
      <c r="CF189" s="1"/>
      <c r="CH189">
        <v>2.0650038956916497</v>
      </c>
      <c r="CI189">
        <v>0.43782277753607973</v>
      </c>
      <c r="CJ189">
        <v>2.1018654347212848</v>
      </c>
      <c r="CK189">
        <v>2.130553746173351</v>
      </c>
      <c r="CM189">
        <v>0</v>
      </c>
      <c r="CN189">
        <v>0</v>
      </c>
      <c r="CO189">
        <v>0</v>
      </c>
      <c r="CP189">
        <v>1</v>
      </c>
      <c r="CR189" s="5">
        <v>-2.7771588210123044E-2</v>
      </c>
      <c r="CS189" s="5">
        <v>2.7538260100509748E-3</v>
      </c>
      <c r="CT189" s="5">
        <v>2.9787563402799133</v>
      </c>
      <c r="CU189" s="5">
        <v>2.130553746173351</v>
      </c>
    </row>
    <row r="190" spans="1:108">
      <c r="A190">
        <v>50</v>
      </c>
      <c r="B190">
        <f t="shared" si="38"/>
        <v>0.66666666666666674</v>
      </c>
      <c r="C190">
        <v>20</v>
      </c>
      <c r="D190">
        <v>23509659.912</v>
      </c>
      <c r="E190">
        <v>123544087.44448</v>
      </c>
      <c r="F190">
        <v>-3225.2139999999999</v>
      </c>
      <c r="G190">
        <v>23509659.754999999</v>
      </c>
      <c r="H190">
        <v>96268112.773460001</v>
      </c>
      <c r="J190" s="5">
        <f>'sv20'!$AA$3+'sv20'!$Z$3*($B190)+'sv20'!$Y$3*($B190)^2+'sv20'!$X$3*($B190)^3+'sv20'!$W$3*($B190)^4+'sv20'!$V$3*($B190)^5+'sv20'!$U$3*($B190)^6+'sv20'!$T$3*($B190)^7+'sv20'!$S$3*($B190)^8</f>
        <v>14129.343661491992</v>
      </c>
      <c r="K190" s="5">
        <f>'sv20'!$AA$4+'sv20'!$Z$4*($B190)+'sv20'!$Y$4*($B190)^2+'sv20'!$X$4*($B190)^3+'sv20'!$W$4*($B190)^4+'sv20'!$V$4*($B190)^5+'sv20'!$U$4*($B190)^6+'sv20'!$T$4*($B190)^7+'sv20'!$S$4*($B190)^8</f>
        <v>22291.414104177959</v>
      </c>
      <c r="L190" s="5">
        <f>'sv20'!$AA$5+'sv20'!$Z$5*($B190)+'sv20'!$Y$5*($B190)^2+'sv20'!$X$5*($B190)^3+'sv20'!$W$5*($B190)^4+'sv20'!$V$5*($B190)^5+'sv20'!$U$5*($B190)^6+'sv20'!$T$5*($B190)^7+'sv20'!$S$5*($B190)^8</f>
        <v>3078.9058537446786</v>
      </c>
      <c r="M190" s="5">
        <f>'sv20'!$AA$6+'sv20'!$Z$6*$B190+'sv20'!$Y$6*$B190^2+'sv20'!$X$6*$B190^3+'sv20'!$W$6*$B190^4+'sv20'!$V$6*$B190^5+'sv20'!$U$6*$B190^6+'sv20'!$T$6*$B190^7+'sv20'!$S$6*$B190^8</f>
        <v>55.81753984480688</v>
      </c>
      <c r="O190">
        <f>SQRT(($J190*1000-coord!$B$2)^2+($K190*1000-coord!$C$2)^2+($L190*1000-coord!$D$2)^2)/coord!$B$6</f>
        <v>7.8475818578086637E-2</v>
      </c>
      <c r="Q190" s="5">
        <f>'sv20'!$AA$3+'sv20'!$Z$3*($B190-$O190/3600)+'sv20'!$Y$3*($B190-$O190/3600)^2+'sv20'!$X$3*($B190-$O190/3600)^3+'sv20'!$W$3*($B190-$O190/3600)^4+'sv20'!$V$3*($B190-$O190/3600)^5+'sv20'!$U$3*($B190-$O190/3600)^6+'sv20'!$T$3*($B190-$O190/3600)^7+'sv20'!$S$3*($B190-$O190/3600)^8+K190*coord!$B$7*O190</f>
        <v>14129.480740109751</v>
      </c>
      <c r="R190" s="5">
        <f>'sv20'!$AA$4+'sv20'!$Z$4*($B190-$O190/3600)+'sv20'!$Y$4*($B190-$O190/3600)^2+'sv20'!$X$4*($B190-$O190/3600)^3+'sv20'!$W$4*($B190-$O190/3600)^4+'sv20'!$V$4*($B190-$O190/3600)^5+'sv20'!$U$4*($B190-$O190/3600)^6+'sv20'!$T$4*($B190-$O190/3600)^7+'sv20'!$S$4*($B190-$O190/3600)^8-J190*coord!$B$7*O190</f>
        <v>22291.292214481811</v>
      </c>
      <c r="S190" s="5">
        <f>'sv20'!$AA$5+'sv20'!$Z$5*($B190-$O190/3600)+'sv20'!$Y$5*($B190-$O190/3600)^2+'sv20'!$X$5*($B190-$O190/3600)^3+'sv20'!$W$5*($B190-$O190/3600)^4+'sv20'!$V$5*($B190-$O190/3600)^5+'sv20'!$U$5*($B190-$O190/3600)^6+'sv20'!$T$5*($B190-$O190/3600)^7+'sv20'!$S$5*($B190-$O190/3600)^8</f>
        <v>3079.1481401317401</v>
      </c>
      <c r="T190">
        <f>coord!$B$6*M190/10^6</f>
        <v>16733.677469587594</v>
      </c>
      <c r="U190">
        <f>SQRT(($Q190*1000+coord!$B$7*$O190*$R190*1000-coord!$B$2)^2+($R190*1000-coord!$B$7*$O190*$Q190*1000-coord!$C$2)^2+($S190*1000-coord!$D$2)^2)</f>
        <v>23526369.143895157</v>
      </c>
      <c r="V190" s="3">
        <f>$D190-(U190-$T190)-coord!$E$2</f>
        <v>24.445574432611465</v>
      </c>
      <c r="W190" s="3"/>
      <c r="Y190">
        <f>-(Q190*1000-coord!$B$2)/$U190</f>
        <v>-0.41402914787798156</v>
      </c>
      <c r="Z190">
        <f>-(R190*1000-coord!$C$2)/$U190</f>
        <v>-0.90820312605807474</v>
      </c>
      <c r="AA190">
        <f>-(S190*1000-coord!$D$2)/$U190</f>
        <v>6.1226623001536924E-2</v>
      </c>
      <c r="AB190">
        <v>1</v>
      </c>
      <c r="BA190">
        <f>SQRT(($Q190*1000+coord!$B$7*$O190*$R190*1000-coord!$B$2-AX$186)^2+($R190*1000-coord!$B$7*$O190*$Q190*1000-coord!$C$2-AX$187)^2+($S190*1000-coord!$D$2-AX$188)^2)</f>
        <v>23526379.58671087</v>
      </c>
      <c r="BB190" s="3">
        <f t="shared" si="39"/>
        <v>2.5598457776292278</v>
      </c>
      <c r="BD190" s="1"/>
      <c r="BE190" s="1"/>
      <c r="BF190" s="1"/>
      <c r="CD190" s="1"/>
      <c r="CE190" s="1"/>
      <c r="CF190" s="1"/>
    </row>
    <row r="191" spans="1:108">
      <c r="A191">
        <v>50</v>
      </c>
      <c r="B191">
        <f t="shared" si="38"/>
        <v>0.66666666666666674</v>
      </c>
      <c r="C191">
        <v>13</v>
      </c>
      <c r="D191">
        <v>20261700.234000001</v>
      </c>
      <c r="E191">
        <v>106475952.01149</v>
      </c>
      <c r="F191">
        <v>-1007.722</v>
      </c>
      <c r="G191">
        <v>20261698.57</v>
      </c>
      <c r="H191">
        <v>82968266.017480001</v>
      </c>
      <c r="J191" s="5">
        <f>'sv13'!$AA$3+'sv13'!$Z$3*($B191)+'sv13'!$Y$3*($B191)^2+'sv13'!$X$3*($B191)^3+'sv13'!$W$3*($B191)^4+'sv13'!$V$3*($B191)^5+'sv13'!$U$3*($B191)^6+'sv13'!$T$3*($B191)^7+'sv13'!$S$3*($B191)^8</f>
        <v>13003.730130734832</v>
      </c>
      <c r="K191" s="5">
        <f>'sv13'!$AA$4+'sv13'!$Z$4*($B191)+'sv13'!$Y$4*($B191)^2+'sv13'!$X$4*($B191)^3+'sv13'!$W$4*($B191)^4+'sv13'!$V$4*($B191)^5+'sv13'!$U$4*($B191)^6+'sv13'!$T$4*($B191)^7+'sv13'!$S$4*($B191)^8</f>
        <v>6719.8883590226451</v>
      </c>
      <c r="L191" s="5">
        <f>'sv13'!$AA$5+'sv13'!$Z$5*($B191)+'sv13'!$Y$5*($B191)^2+'sv13'!$X$5*($B191)^3+'sv13'!$W$5*($B191)^4+'sv13'!$V$5*($B191)^5+'sv13'!$U$5*($B191)^6+'sv13'!$T$5*($B191)^7+'sv13'!$S$5*($B191)^8</f>
        <v>22025.022509671904</v>
      </c>
      <c r="M191" s="5">
        <f>'sv13'!$AA$6+'sv13'!$Z$6*$B191+'sv13'!$Y$6*$B191^2+'sv13'!$X$6*$B191^3+'sv13'!$W$6*$B191^4+'sv13'!$V$6*$B191^5+'sv13'!$U$6*$B191^6+'sv13'!$T$6*$B191^7+'sv13'!$S$6*$B191^8</f>
        <v>304.21909925713567</v>
      </c>
      <c r="O191">
        <f>SQRT(($J191*1000-coord!$B$2)^2+($K191*1000-coord!$C$2)^2+($L191*1000-coord!$D$2)^2)/coord!$B$6</f>
        <v>6.789005490952392E-2</v>
      </c>
      <c r="Q191" s="5">
        <f>'sv13'!$AA$3+'sv13'!$Z$3*($B191-$O191/3600)+'sv13'!$Y$3*($B191-$O191/3600)^2+'sv13'!$X$3*($B191-$O191/3600)^3+'sv13'!$W$3*($B191-$O191/3600)^4+'sv13'!$V$3*($B191-$O191/3600)^5+'sv13'!$U$3*($B191-$O191/3600)^6+'sv13'!$T$3*($B191-$O191/3600)^7+'sv13'!$S$3*($B191-$O191/3600)^8+K191*coord!$B$7*O191</f>
        <v>13003.881137902141</v>
      </c>
      <c r="R191" s="5">
        <f>'sv13'!$AA$4+'sv13'!$Z$4*($B191-$O191/3600)+'sv13'!$Y$4*($B191-$O191/3600)^2+'sv13'!$X$4*($B191-$O191/3600)^3+'sv13'!$W$4*($B191-$O191/3600)^4+'sv13'!$V$4*($B191-$O191/3600)^5+'sv13'!$U$4*($B191-$O191/3600)^6+'sv13'!$T$4*($B191-$O191/3600)^7+'sv13'!$S$4*($B191-$O191/3600)^8-J191*coord!$B$7*O191</f>
        <v>6719.6728749174481</v>
      </c>
      <c r="S191" s="5">
        <f>'sv13'!$AA$5+'sv13'!$Z$5*($B191-$O191/3600)+'sv13'!$Y$5*($B191-$O191/3600)^2+'sv13'!$X$5*($B191-$O191/3600)^3+'sv13'!$W$5*($B191-$O191/3600)^4+'sv13'!$V$5*($B191-$O191/3600)^5+'sv13'!$U$5*($B191-$O191/3600)^6+'sv13'!$T$5*($B191-$O191/3600)^7+'sv13'!$S$5*($B191-$O191/3600)^8</f>
        <v>22024.999448303777</v>
      </c>
      <c r="T191">
        <f>coord!$B$6*M191/10^6</f>
        <v>91202.591536842679</v>
      </c>
      <c r="U191">
        <f>SQRT(($Q191*1000+coord!$B$7*$O191*$R191*1000-coord!$B$2)^2+($R191*1000-coord!$B$7*$O191*$Q191*1000-coord!$C$2)^2+($S191*1000-coord!$D$2)^2)</f>
        <v>20352904.912963983</v>
      </c>
      <c r="V191" s="3">
        <f>$D191-(U191-$T191)-coord!$E$2</f>
        <v>-2.0874271392822266</v>
      </c>
      <c r="W191" s="3"/>
      <c r="Y191">
        <f>-(Q191*1000-coord!$B$2)/$U191</f>
        <v>-0.42328124677744305</v>
      </c>
      <c r="Z191">
        <f>-(R191*1000-coord!$C$2)/$U191</f>
        <v>-0.28473098491342141</v>
      </c>
      <c r="AA191">
        <f>-(S191*1000-coord!$D$2)/$U191</f>
        <v>-0.86009398898402634</v>
      </c>
      <c r="AB191">
        <v>1</v>
      </c>
      <c r="BA191">
        <f>SQRT(($Q191*1000+coord!$B$7*$O191*$R191*1000-coord!$B$2-AX$186)^2+($R191*1000-coord!$B$7*$O191*$Q191*1000-coord!$C$2-AX$187)^2+($S191*1000-coord!$D$2-AX$188)^2)</f>
        <v>20352887.79214206</v>
      </c>
      <c r="BB191" s="3">
        <f t="shared" si="39"/>
        <v>3.5904818423374607</v>
      </c>
      <c r="BD191" s="1"/>
      <c r="BE191" s="1"/>
      <c r="BF191" s="1"/>
      <c r="CD191" s="1"/>
      <c r="CE191" s="1"/>
      <c r="CF191" s="1"/>
    </row>
    <row r="192" spans="1:108">
      <c r="A192">
        <v>50</v>
      </c>
      <c r="B192">
        <f t="shared" si="38"/>
        <v>0.66666666666666674</v>
      </c>
      <c r="C192">
        <v>7</v>
      </c>
      <c r="D192">
        <v>21428883.901000001</v>
      </c>
      <c r="E192">
        <v>112609552.54749</v>
      </c>
      <c r="F192">
        <v>2514.4409999999998</v>
      </c>
      <c r="G192">
        <v>21428883.072000001</v>
      </c>
      <c r="H192">
        <v>87747704.250479996</v>
      </c>
      <c r="J192" s="5">
        <f>'sv07'!$AA$3+'sv07'!$Z$3*($B192)+'sv07'!$Y$3*($B192)^2+'sv07'!$X$3*($B192)^3+'sv07'!$W$3*($B192)^4+'sv07'!$V$3*($B192)^5+'sv07'!$U$3*($B192)^6+'sv07'!$T$3*($B192)^7+'sv07'!$S$3*($B192)^8</f>
        <v>24955.824365640456</v>
      </c>
      <c r="K192" s="5">
        <f>'sv07'!$AA$4+'sv07'!$Z$4*($B192)+'sv07'!$Y$4*($B192)^2+'sv07'!$X$4*($B192)^3+'sv07'!$W$4*($B192)^4+'sv07'!$V$4*($B192)^5+'sv07'!$U$4*($B192)^6+'sv07'!$T$4*($B192)^7+'sv07'!$S$4*($B192)^8</f>
        <v>6546.5142918942547</v>
      </c>
      <c r="L192" s="5">
        <f>'sv07'!$AA$5+'sv07'!$Z$5*($B192)+'sv07'!$Y$5*($B192)^2+'sv07'!$X$5*($B192)^3+'sv07'!$W$5*($B192)^4+'sv07'!$V$5*($B192)^5+'sv07'!$U$5*($B192)^6+'sv07'!$T$5*($B192)^7+'sv07'!$S$5*($B192)^8</f>
        <v>6660.1971888925736</v>
      </c>
      <c r="M192" s="5">
        <f>'sv07'!$AA$6+'sv07'!$Z$6*$B192+'sv07'!$Y$6*$B192^2+'sv07'!$X$6*$B192^3+'sv07'!$W$6*$B192^4+'sv07'!$V$6*$B192^5+'sv07'!$U$6*$B192^6+'sv07'!$T$6*$B192^7+'sv07'!$S$6*$B192^8</f>
        <v>-0.63812332877638611</v>
      </c>
      <c r="O192">
        <f>SQRT(($J192*1000-coord!$B$2)^2+($K192*1000-coord!$C$2)^2+($L192*1000-coord!$D$2)^2)/coord!$B$6</f>
        <v>7.1478336711385773E-2</v>
      </c>
      <c r="Q192" s="5">
        <f>'sv07'!$AA$3+'sv07'!$Z$3*($B192-$O192/3600)+'sv07'!$Y$3*($B192-$O192/3600)^2+'sv07'!$X$3*($B192-$O192/3600)^3+'sv07'!$W$3*($B192-$O192/3600)^4+'sv07'!$V$3*($B192-$O192/3600)^5+'sv07'!$U$3*($B192-$O192/3600)^6+'sv07'!$T$3*($B192-$O192/3600)^7+'sv07'!$S$3*($B192-$O192/3600)^8+K192*coord!$B$7*O192</f>
        <v>24955.919766987961</v>
      </c>
      <c r="R192" s="5">
        <f>'sv07'!$AA$4+'sv07'!$Z$4*($B192-$O192/3600)+'sv07'!$Y$4*($B192-$O192/3600)^2+'sv07'!$X$4*($B192-$O192/3600)^3+'sv07'!$W$4*($B192-$O192/3600)^4+'sv07'!$V$4*($B192-$O192/3600)^5+'sv07'!$U$4*($B192-$O192/3600)^6+'sv07'!$T$4*($B192-$O192/3600)^7+'sv07'!$S$4*($B192-$O192/3600)^8-J192*coord!$B$7*O192</f>
        <v>6546.3731398394984</v>
      </c>
      <c r="S192" s="5">
        <f>'sv07'!$AA$5+'sv07'!$Z$5*($B192-$O192/3600)+'sv07'!$Y$5*($B192-$O192/3600)^2+'sv07'!$X$5*($B192-$O192/3600)^3+'sv07'!$W$5*($B192-$O192/3600)^4+'sv07'!$V$5*($B192-$O192/3600)^5+'sv07'!$U$5*($B192-$O192/3600)^6+'sv07'!$T$5*($B192-$O192/3600)^7+'sv07'!$S$5*($B192-$O192/3600)^8</f>
        <v>6659.9800217789389</v>
      </c>
      <c r="T192">
        <f>coord!$B$6*M192/10^6</f>
        <v>-191.30456124101494</v>
      </c>
      <c r="U192">
        <f>SQRT(($Q192*1000+coord!$B$7*$O192*$R192*1000-coord!$B$2)^2+($R192*1000-coord!$B$7*$O192*$Q192*1000-coord!$C$2)^2+($S192*1000-coord!$D$2)^2)</f>
        <v>21428697.721435156</v>
      </c>
      <c r="V192" s="3">
        <f>$D192-(U192-$T192)-coord!$E$2</f>
        <v>-5.1249963976442814</v>
      </c>
      <c r="W192" s="3" t="s">
        <v>127</v>
      </c>
      <c r="X192" s="1" t="s">
        <v>128</v>
      </c>
      <c r="Y192">
        <f>-(Q192*1000-coord!$B$2)/$U192</f>
        <v>-0.95978961780839911</v>
      </c>
      <c r="Z192">
        <f>-(R192*1000-coord!$C$2)/$U192</f>
        <v>-0.26234925704402473</v>
      </c>
      <c r="AA192">
        <f>-(S192*1000-coord!$D$2)/$U192</f>
        <v>-9.9884359530532874E-2</v>
      </c>
      <c r="AB192">
        <v>1</v>
      </c>
      <c r="BA192">
        <f>SQRT(($Q192*1000+coord!$B$7*$O192*$R192*1000-coord!$B$2-AX$186)^2+($R192*1000-coord!$B$7*$O192*$Q192*1000-coord!$C$2-AX$187)^2+($S192*1000-coord!$D$2-AX$188)^2)</f>
        <v>21428686.069344334</v>
      </c>
      <c r="BB192" s="3">
        <f t="shared" si="39"/>
        <v>-4.91581851762691</v>
      </c>
      <c r="BC192" s="3" t="s">
        <v>127</v>
      </c>
      <c r="BD192" s="1" t="s">
        <v>128</v>
      </c>
      <c r="BE192" s="1"/>
      <c r="BF192" s="1"/>
      <c r="CD192" s="1"/>
      <c r="CE192" s="1"/>
      <c r="CF192" s="1"/>
    </row>
    <row r="193" spans="1:108">
      <c r="V193" s="3"/>
      <c r="W193" s="3">
        <f>AVERAGE($V186:$V192)</f>
        <v>-3.3359479723232135</v>
      </c>
      <c r="X193" s="1">
        <f>SQRT(DEVSQ($V186:$V192)/6)</f>
        <v>14.869075338560961</v>
      </c>
      <c r="BB193" s="3"/>
      <c r="BC193" s="3">
        <f>AVERAGE($BB186:$BB192)</f>
        <v>5.668521621109741E-5</v>
      </c>
      <c r="BD193" s="1">
        <f>SQRT(DEVSQ($BB186:$BB192)/6)</f>
        <v>4.8847661817977777</v>
      </c>
      <c r="BE193" s="1"/>
      <c r="BF193" s="1"/>
      <c r="CD193" s="1"/>
      <c r="CE193" s="1"/>
      <c r="CF193" s="1"/>
    </row>
    <row r="194" spans="1:108">
      <c r="A194">
        <v>52</v>
      </c>
      <c r="B194">
        <f t="shared" ref="B194:B200" si="40">(60-45)/60+30*A194/3600</f>
        <v>0.68333333333333335</v>
      </c>
      <c r="C194">
        <v>2</v>
      </c>
      <c r="D194">
        <v>22276534.050000001</v>
      </c>
      <c r="E194">
        <v>117063983.64248</v>
      </c>
      <c r="F194">
        <v>1775.383</v>
      </c>
      <c r="G194">
        <v>22276531.785999998</v>
      </c>
      <c r="H194">
        <v>91218677.974470004</v>
      </c>
      <c r="J194" s="5">
        <f>'sv02'!$AA$3+'sv02'!$Z$3*($B194)+'sv02'!$Y$3*($B194)^2+'sv02'!$X$3*($B194)^3+'sv02'!$W$3*($B194)^4+'sv02'!$V$3*($B194)^5+'sv02'!$U$3*($B194)^6+'sv02'!$T$3*($B194)^7+'sv02'!$S$3*($B194)^8</f>
        <v>9682.4143593666195</v>
      </c>
      <c r="K194" s="5">
        <f>'sv02'!$AA$4+'sv02'!$Z$4*($B194)+'sv02'!$Y$4*($B194)^2+'sv02'!$X$4*($B194)^3+'sv02'!$W$4*($B194)^4+'sv02'!$V$4*($B194)^5+'sv02'!$U$4*($B194)^6+'sv02'!$T$4*($B194)^7+'sv02'!$S$4*($B194)^8</f>
        <v>-14178.818638043411</v>
      </c>
      <c r="L194" s="5">
        <f>'sv02'!$AA$5+'sv02'!$Z$5*($B194)+'sv02'!$Y$5*($B194)^2+'sv02'!$X$5*($B194)^3+'sv02'!$W$5*($B194)^4+'sv02'!$V$5*($B194)^5+'sv02'!$U$5*($B194)^6+'sv02'!$T$5*($B194)^7+'sv02'!$S$5*($B194)^8</f>
        <v>20125.84245115512</v>
      </c>
      <c r="M194" s="5">
        <f>'sv02'!$AA$6+'sv02'!$Z$6*$B194+'sv02'!$Y$6*$B194^2+'sv02'!$X$6*$B194^3+'sv02'!$W$6*$B194^4+'sv02'!$V$6*$B194^5+'sv02'!$U$6*$B194^6+'sv02'!$T$6*$B194^7+'sv02'!$S$6*$B194^8</f>
        <v>257.59481696697895</v>
      </c>
      <c r="O194">
        <f>SQRT(($J194*1000-coord!$B$2)^2+($K194*1000-coord!$C$2)^2+($L194*1000-coord!$D$2)^2)/coord!$B$6</f>
        <v>7.456400264547372E-2</v>
      </c>
      <c r="Q194" s="5">
        <f>'sv02'!$AA$3+'sv02'!$Z$3*($B194-$O194/3600)+'sv02'!$Y$3*($B194-$O194/3600)^2+'sv02'!$X$3*($B194-$O194/3600)^3+'sv02'!$W$3*($B194-$O194/3600)^4+'sv02'!$V$3*($B194-$O194/3600)^5+'sv02'!$U$3*($B194-$O194/3600)^6+'sv02'!$T$3*($B194-$O194/3600)^7+'sv02'!$S$3*($B194-$O194/3600)^8+K194*coord!$B$7*O194</f>
        <v>9682.1457328256456</v>
      </c>
      <c r="R194" s="5">
        <f>'sv02'!$AA$4+'sv02'!$Z$4*($B194-$O194/3600)+'sv02'!$Y$4*($B194-$O194/3600)^2+'sv02'!$X$4*($B194-$O194/3600)^3+'sv02'!$W$4*($B194-$O194/3600)^4+'sv02'!$V$4*($B194-$O194/3600)^5+'sv02'!$U$4*($B194-$O194/3600)^6+'sv02'!$T$4*($B194-$O194/3600)^7+'sv02'!$S$4*($B194-$O194/3600)^8-J194*coord!$B$7*O194</f>
        <v>-14178.892552885685</v>
      </c>
      <c r="S194" s="5">
        <f>'sv02'!$AA$5+'sv02'!$Z$5*($B194-$O194/3600)+'sv02'!$Y$5*($B194-$O194/3600)^2+'sv02'!$X$5*($B194-$O194/3600)^3+'sv02'!$W$5*($B194-$O194/3600)^4+'sv02'!$V$5*($B194-$O194/3600)^5+'sv02'!$U$5*($B194-$O194/3600)^6+'sv02'!$T$5*($B194-$O194/3600)^7+'sv02'!$S$5*($B194-$O194/3600)^8</f>
        <v>20125.922922127476</v>
      </c>
      <c r="T194">
        <f>coord!$B$6*M194/10^6</f>
        <v>77224.983346590729</v>
      </c>
      <c r="U194">
        <f>SQRT(($Q194*1000+coord!$B$7*$O194*$R194*1000-coord!$B$2)^2+($R194*1000-coord!$B$7*$O194*$Q194*1000-coord!$C$2)^2+($S194*1000-coord!$D$2)^2)</f>
        <v>22353785.456273403</v>
      </c>
      <c r="V194" s="3">
        <f>$D194-(U194-$T194)-coord!$E$2</f>
        <v>-26.422926813364029</v>
      </c>
      <c r="W194" s="3"/>
      <c r="Y194">
        <f>-(Q194*1000-coord!$B$2)/$U194</f>
        <v>-0.23679513129352928</v>
      </c>
      <c r="Z194">
        <f>-(R194*1000-coord!$C$2)/$U194</f>
        <v>0.67565570921443296</v>
      </c>
      <c r="AA194">
        <f>-(S194*1000-coord!$D$2)/$U194</f>
        <v>-0.69815175950199926</v>
      </c>
      <c r="AB194">
        <v>1</v>
      </c>
      <c r="AD194">
        <f t="array" ref="AD194:AJ197">TRANSPOSE(Y194:AB200)</f>
        <v>-0.23679513129352928</v>
      </c>
      <c r="AE194">
        <v>-0.12834018593517038</v>
      </c>
      <c r="AF194">
        <v>-0.19909034865372519</v>
      </c>
      <c r="AG194">
        <v>-0.87646225029736913</v>
      </c>
      <c r="AH194">
        <v>-0.41306079695165104</v>
      </c>
      <c r="AI194">
        <v>-0.4179396530474136</v>
      </c>
      <c r="AJ194">
        <v>-0.95863561891886373</v>
      </c>
      <c r="AL194">
        <f t="array" ref="AL194:AO197">MMULT(AD194:AJ197,Y194:AB200)</f>
        <v>2.1446412060812623</v>
      </c>
      <c r="AM194">
        <v>0.22093139280271173</v>
      </c>
      <c r="AN194">
        <v>1.1184949390619103</v>
      </c>
      <c r="AO194">
        <v>-3.2303239850977223</v>
      </c>
      <c r="AQ194">
        <f t="array" ref="AQ194:AT197">MINVERSE(AL194:AO197)</f>
        <v>2.6502106677136337</v>
      </c>
      <c r="AR194">
        <v>0.33552672532082339</v>
      </c>
      <c r="AS194">
        <v>1.7229318158384352</v>
      </c>
      <c r="AT194">
        <v>2.0694425502599438</v>
      </c>
      <c r="AV194">
        <f t="array" ref="AV194:AV197">MMULT(AD194:AJ197,V194:V200)</f>
        <v>9.165510861502856</v>
      </c>
      <c r="AX194">
        <f t="array" ref="AX194:AX197">MMULT(AQ194:AT197,AV194:AV197)</f>
        <v>13.662458226631777</v>
      </c>
      <c r="BA194">
        <f>SQRT(($Q194*1000+coord!$B$7*$O194*$R194*1000-coord!$B$2-AX$194)^2+($R194*1000-coord!$B$7*$O194*$Q194*1000-coord!$C$2-AX$195)^2+($S194*1000-coord!$D$2-AX$196)^2)</f>
        <v>22353754.294735767</v>
      </c>
      <c r="BB194" s="3">
        <f>$D194-(BA194-$T194)-AX$197</f>
        <v>-7.1505032489739335</v>
      </c>
      <c r="BD194" s="1">
        <f>coord!$B$2+$AX194</f>
        <v>4388891.8332582274</v>
      </c>
      <c r="BE194" s="1">
        <f>coord!$C$2+$AX195</f>
        <v>924549.90448649484</v>
      </c>
      <c r="BF194" s="1">
        <f>coord!$D$2+$AX196</f>
        <v>4519608.6203578012</v>
      </c>
      <c r="BG194" s="1">
        <f>coord!$E$2+$AX197</f>
        <v>11.889114071681348</v>
      </c>
      <c r="BH194">
        <f>lat($BD194,$BE194,$BF194)</f>
        <v>45.411240949281051</v>
      </c>
      <c r="BI194">
        <f>lon($BD194,$BE194,$BF194)</f>
        <v>11.895816695590263</v>
      </c>
      <c r="BJ194">
        <f>h($BD194,$BE194,$BF194)</f>
        <v>83.057278163731098</v>
      </c>
      <c r="BL194">
        <f>grado($BH194)</f>
        <v>45</v>
      </c>
      <c r="BM194">
        <f>MINUTOprimo($BH194)</f>
        <v>24</v>
      </c>
      <c r="BN194">
        <f>MINUTOsecondo($BH194)</f>
        <v>40.467417411784936</v>
      </c>
      <c r="BO194">
        <f>grado($BI194)</f>
        <v>11</v>
      </c>
      <c r="BP194">
        <f>MINUTOprimo($BI194)</f>
        <v>53</v>
      </c>
      <c r="BQ194">
        <f>MINUTOsecondo($BI194)</f>
        <v>44.940104124945606</v>
      </c>
      <c r="BS194">
        <f>-SIN(RADIANS(BH194))*COS(RADIANS(BI194))</f>
        <v>-0.69686938630873041</v>
      </c>
      <c r="BT194">
        <f>-SIN(RADIANS(BI194))</f>
        <v>-0.20613274152285219</v>
      </c>
      <c r="BU194">
        <f>COS(RADIANS(BH194))*COS(RADIANS(BI194))</f>
        <v>0.68693693400338174</v>
      </c>
      <c r="BW194" t="s">
        <v>93</v>
      </c>
      <c r="BX194">
        <f t="array" ref="BX194:BZ196">MINVERSE(BS194:BU196)</f>
        <v>-0.6968693863087303</v>
      </c>
      <c r="BY194">
        <v>-0.14680027419881672</v>
      </c>
      <c r="BZ194">
        <v>0.70201334597060605</v>
      </c>
      <c r="CA194">
        <v>0</v>
      </c>
      <c r="CB194" s="1">
        <f t="array" ref="CB194:CB196">MMULT(BX194:BZ196,AX194:AX196)</f>
        <v>7.7435799455462071</v>
      </c>
      <c r="CD194" s="1">
        <f t="array" ref="CD194:CF194">TRANSPOSE(CB194:CB196)</f>
        <v>7.7435799455462071</v>
      </c>
      <c r="CE194" s="1">
        <v>-22.688844315082036</v>
      </c>
      <c r="CF194" s="1">
        <v>20.936140770083139</v>
      </c>
      <c r="CH194">
        <f t="array" ref="CH194:CK197">MMULT(BX194:CA197,AQ194:AT197)</f>
        <v>-0.68658496796062551</v>
      </c>
      <c r="CI194">
        <v>8.2660609146651742E-2</v>
      </c>
      <c r="CJ194">
        <v>0.5793526314854851</v>
      </c>
      <c r="CK194">
        <v>-3.3849148940674922E-2</v>
      </c>
      <c r="CM194">
        <f t="array" ref="CM194:CP197">TRANSPOSE(BX194:CA197)</f>
        <v>-0.6968693863087303</v>
      </c>
      <c r="CN194">
        <v>-0.20613274152285221</v>
      </c>
      <c r="CO194">
        <v>0.68693693400338174</v>
      </c>
      <c r="CP194">
        <v>0</v>
      </c>
      <c r="CR194" s="5">
        <f t="array" ref="CR194:CU197">MMULT(CH194:CK197,CM194:CP197)</f>
        <v>0.8730387245093516</v>
      </c>
      <c r="CS194" s="5">
        <v>0.22241303477680263</v>
      </c>
      <c r="CT194" s="5">
        <v>-4.7084961628978184E-2</v>
      </c>
      <c r="CU194" s="5">
        <v>-3.3849148940674922E-2</v>
      </c>
      <c r="CW194" s="3">
        <f>SQRT(CR194+CS195)</f>
        <v>1.1647477057700015</v>
      </c>
      <c r="CX194" s="3">
        <f>CT196</f>
        <v>4.4753635859854253</v>
      </c>
      <c r="CY194" s="3">
        <f>CU197</f>
        <v>2.1323425814826011</v>
      </c>
      <c r="CZ194" s="3">
        <f>BB201</f>
        <v>0</v>
      </c>
      <c r="DA194">
        <v>6</v>
      </c>
      <c r="DB194" s="6">
        <f>CY194*DA194*CZ194</f>
        <v>0</v>
      </c>
      <c r="DC194">
        <v>5.33</v>
      </c>
      <c r="DD194" s="6">
        <f>CZ194*DC194*SQRT(0.5*(CR194+CS195)+SQRT((0.5*(CR194-CS195))^2+CS194^2))</f>
        <v>0</v>
      </c>
    </row>
    <row r="195" spans="1:108">
      <c r="A195">
        <v>52</v>
      </c>
      <c r="B195">
        <f t="shared" si="40"/>
        <v>0.68333333333333335</v>
      </c>
      <c r="C195">
        <v>23</v>
      </c>
      <c r="D195">
        <v>21432307.155999999</v>
      </c>
      <c r="E195">
        <v>112627528.15549</v>
      </c>
      <c r="F195">
        <v>-2167.6039999999998</v>
      </c>
      <c r="G195">
        <v>21432303.613000002</v>
      </c>
      <c r="H195">
        <v>87761695.763469994</v>
      </c>
      <c r="J195" s="5">
        <f>'sv23'!$AA$3+'sv23'!$Z$3*($B195)+'sv23'!$Y$3*($B195)^2+'sv23'!$X$3*($B195)^3+'sv23'!$W$3*($B195)^4+'sv23'!$V$3*($B195)^5+'sv23'!$U$3*($B195)^6+'sv23'!$T$3*($B195)^7+'sv23'!$S$3*($B195)^8</f>
        <v>7153.5506134303914</v>
      </c>
      <c r="K195" s="5">
        <f>'sv23'!$AA$4+'sv23'!$Z$4*($B195)+'sv23'!$Y$4*($B195)^2+'sv23'!$X$4*($B195)^3+'sv23'!$W$4*($B195)^4+'sv23'!$V$4*($B195)^5+'sv23'!$U$4*($B195)^6+'sv23'!$T$4*($B195)^7+'sv23'!$S$4*($B195)^8</f>
        <v>14807.690334881232</v>
      </c>
      <c r="L195" s="5">
        <f>'sv23'!$AA$5+'sv23'!$Z$5*($B195)+'sv23'!$Y$5*($B195)^2+'sv23'!$X$5*($B195)^3+'sv23'!$W$5*($B195)^4+'sv23'!$V$5*($B195)^5+'sv23'!$U$5*($B195)^6+'sv23'!$T$5*($B195)^7+'sv23'!$S$5*($B195)^8</f>
        <v>20759.334045515367</v>
      </c>
      <c r="M195" s="5">
        <f>'sv23'!$AA$6+'sv23'!$Z$6*$B195+'sv23'!$Y$6*$B195^2+'sv23'!$X$6*$B195^3+'sv23'!$W$6*$B195^4+'sv23'!$V$6*$B195^5+'sv23'!$U$6*$B195^6+'sv23'!$T$6*$B195^7+'sv23'!$S$6*$B195^8</f>
        <v>370.05545231573871</v>
      </c>
      <c r="O195">
        <f>SQRT(($J195*1000-coord!$B$2)^2+($K195*1000-coord!$C$2)^2+($L195*1000-coord!$D$2)^2)/coord!$B$6</f>
        <v>7.1860714173851328E-2</v>
      </c>
      <c r="Q195" s="5">
        <f>'sv23'!$AA$3+'sv23'!$Z$3*($B195-$O195/3600)+'sv23'!$Y$3*($B195-$O195/3600)^2+'sv23'!$X$3*($B195-$O195/3600)^3+'sv23'!$W$3*($B195-$O195/3600)^4+'sv23'!$V$3*($B195-$O195/3600)^5+'sv23'!$U$3*($B195-$O195/3600)^6+'sv23'!$T$3*($B195-$O195/3600)^7+'sv23'!$S$3*($B195-$O195/3600)^8+K195*coord!$B$7*O195</f>
        <v>7153.7418683492078</v>
      </c>
      <c r="R195" s="5">
        <f>'sv23'!$AA$4+'sv23'!$Z$4*($B195-$O195/3600)+'sv23'!$Y$4*($B195-$O195/3600)^2+'sv23'!$X$4*($B195-$O195/3600)^3+'sv23'!$W$4*($B195-$O195/3600)^4+'sv23'!$V$4*($B195-$O195/3600)^5+'sv23'!$U$4*($B195-$O195/3600)^6+'sv23'!$T$4*($B195-$O195/3600)^7+'sv23'!$S$4*($B195-$O195/3600)^8-J195*coord!$B$7*O195</f>
        <v>14807.500098507926</v>
      </c>
      <c r="S195" s="5">
        <f>'sv23'!$AA$5+'sv23'!$Z$5*($B195-$O195/3600)+'sv23'!$Y$5*($B195-$O195/3600)^2+'sv23'!$X$5*($B195-$O195/3600)^3+'sv23'!$W$5*($B195-$O195/3600)^4+'sv23'!$V$5*($B195-$O195/3600)^5+'sv23'!$U$5*($B195-$O195/3600)^6+'sv23'!$T$5*($B195-$O195/3600)^7+'sv23'!$S$5*($B195-$O195/3600)^8</f>
        <v>20759.405968811479</v>
      </c>
      <c r="T195">
        <f>coord!$B$6*M195/10^6</f>
        <v>110939.83364603709</v>
      </c>
      <c r="U195">
        <f>SQRT(($Q195*1000+coord!$B$7*$O195*$R195*1000-coord!$B$2)^2+($R195*1000-coord!$B$7*$O195*$Q195*1000-coord!$C$2)^2+($S195*1000-coord!$D$2)^2)</f>
        <v>21543242.106146295</v>
      </c>
      <c r="V195" s="3">
        <f>$D195-(U195-$T195)-coord!$E$2</f>
        <v>4.8834997415542603</v>
      </c>
      <c r="W195" s="3"/>
      <c r="Y195">
        <f>-(Q195*1000-coord!$B$2)/$U195</f>
        <v>-0.12834018593517038</v>
      </c>
      <c r="Z195">
        <f>-(R195*1000-coord!$C$2)/$U195</f>
        <v>-0.64442156927471572</v>
      </c>
      <c r="AA195">
        <f>-(S195*1000-coord!$D$2)/$U195</f>
        <v>-0.75382422081578204</v>
      </c>
      <c r="AB195">
        <v>1</v>
      </c>
      <c r="AD195">
        <v>0.67565570921443296</v>
      </c>
      <c r="AE195">
        <v>-0.64442156927471572</v>
      </c>
      <c r="AF195">
        <v>0.69674223807114477</v>
      </c>
      <c r="AG195">
        <v>0.35608137733728074</v>
      </c>
      <c r="AH195">
        <v>-0.90808695418296059</v>
      </c>
      <c r="AI195">
        <v>-0.29113854813353712</v>
      </c>
      <c r="AJ195">
        <v>-0.26313571262458574</v>
      </c>
      <c r="AL195">
        <v>0.22093139280271173</v>
      </c>
      <c r="AM195">
        <v>2.462657463764387</v>
      </c>
      <c r="AN195">
        <v>-0.36503177111747559</v>
      </c>
      <c r="AO195">
        <v>-0.37830345959294071</v>
      </c>
      <c r="AQ195">
        <v>0.33552672532082378</v>
      </c>
      <c r="AR195">
        <v>0.52881426189106095</v>
      </c>
      <c r="AS195">
        <v>0.56139814608810334</v>
      </c>
      <c r="AT195">
        <v>0.45330966931852851</v>
      </c>
      <c r="AV195">
        <v>-58.919589466938156</v>
      </c>
      <c r="AX195">
        <v>-20.308713505132609</v>
      </c>
      <c r="BA195">
        <f>SQRT(($Q195*1000+coord!$B$7*$O195*$R195*1000-coord!$B$2-AX$194)^2+($R195*1000-coord!$B$7*$O195*$Q195*1000-coord!$C$2-AX$195)^2+($S195*1000-coord!$D$2-AX$196)^2)</f>
        <v>21543238.102664314</v>
      </c>
      <c r="BB195" s="3">
        <f t="shared" ref="BB195:BB200" si="41">$D195-(BA195-$T195)-AX$197</f>
        <v>-3.0021323497138894</v>
      </c>
      <c r="BD195" s="1"/>
      <c r="BE195" s="1"/>
      <c r="BF195" s="1"/>
      <c r="BS195">
        <f>-SIN(RADIANS(BH194))*SIN(RADIANS(BI194))</f>
        <v>-0.14680027419881675</v>
      </c>
      <c r="BT195">
        <f>COS(RADIANS(BI194))</f>
        <v>0.97852403796343856</v>
      </c>
      <c r="BU195">
        <f>COS(RADIANS(BH194))*SIN(RADIANS(BI194))</f>
        <v>0.14470793559055153</v>
      </c>
      <c r="BW195" t="s">
        <v>94</v>
      </c>
      <c r="BX195">
        <v>-0.20613274152285221</v>
      </c>
      <c r="BY195">
        <v>0.97852403796343868</v>
      </c>
      <c r="BZ195">
        <v>0</v>
      </c>
      <c r="CA195">
        <v>0</v>
      </c>
      <c r="CB195" s="1">
        <v>-22.688844315082036</v>
      </c>
      <c r="CD195" s="1"/>
      <c r="CE195" s="1"/>
      <c r="CF195" s="1"/>
      <c r="CH195">
        <v>-0.21797422444333803</v>
      </c>
      <c r="CI195">
        <v>0.44829442313372997</v>
      </c>
      <c r="CJ195">
        <v>0.19418892215959677</v>
      </c>
      <c r="CK195">
        <v>1.6994541760312509E-2</v>
      </c>
      <c r="CM195">
        <v>-0.14680027419881672</v>
      </c>
      <c r="CN195">
        <v>0.97852403796343868</v>
      </c>
      <c r="CO195">
        <v>0.14470793559055151</v>
      </c>
      <c r="CP195">
        <v>0</v>
      </c>
      <c r="CR195" s="5">
        <v>0.22241303477680258</v>
      </c>
      <c r="CS195" s="5">
        <v>0.48359849358713058</v>
      </c>
      <c r="CT195" s="5">
        <v>5.3431533625895644E-2</v>
      </c>
      <c r="CU195" s="5">
        <v>1.6994541760312509E-2</v>
      </c>
    </row>
    <row r="196" spans="1:108">
      <c r="A196">
        <v>52</v>
      </c>
      <c r="B196">
        <f t="shared" si="40"/>
        <v>0.68333333333333335</v>
      </c>
      <c r="C196">
        <v>10</v>
      </c>
      <c r="D196">
        <v>22453048.829999998</v>
      </c>
      <c r="E196">
        <v>117991573.63748001</v>
      </c>
      <c r="F196">
        <v>2875.37</v>
      </c>
      <c r="G196">
        <v>22453048.515000001</v>
      </c>
      <c r="H196">
        <v>91941490.095469996</v>
      </c>
      <c r="J196" s="5">
        <f>'sv10'!$AA$3+'sv10'!$Z$3*($B196)+'sv10'!$Y$3*($B196)^2+'sv10'!$X$3*($B196)^3+'sv10'!$W$3*($B196)^4+'sv10'!$V$3*($B196)^5+'sv10'!$U$3*($B196)^6+'sv10'!$T$3*($B196)^7+'sv10'!$S$3*($B196)^8</f>
        <v>8856.6698062783198</v>
      </c>
      <c r="K196" s="5">
        <f>'sv10'!$AA$4+'sv10'!$Z$4*($B196)+'sv10'!$Y$4*($B196)^2+'sv10'!$X$4*($B196)^3+'sv10'!$W$4*($B196)^4+'sv10'!$V$4*($B196)^5+'sv10'!$U$4*($B196)^6+'sv10'!$T$4*($B196)^7+'sv10'!$S$4*($B196)^8</f>
        <v>-14710.224174773175</v>
      </c>
      <c r="L196" s="5">
        <f>'sv10'!$AA$5+'sv10'!$Z$5*($B196)+'sv10'!$Y$5*($B196)^2+'sv10'!$X$5*($B196)^3+'sv10'!$W$5*($B196)^4+'sv10'!$V$5*($B196)^5+'sv10'!$U$5*($B196)^6+'sv10'!$T$5*($B196)^7+'sv10'!$S$5*($B196)^8</f>
        <v>19984.059939399656</v>
      </c>
      <c r="M196" s="5">
        <f>'sv10'!$AA$6+'sv10'!$Z$6*$B196+'sv10'!$Y$6*$B196^2+'sv10'!$X$6*$B196^3+'sv10'!$W$6*$B196^4+'sv10'!$V$6*$B196^5+'sv10'!$U$6*$B196^6+'sv10'!$T$6*$B196^7+'sv10'!$S$6*$B196^8</f>
        <v>-43.00195436706057</v>
      </c>
      <c r="O196">
        <f>SQRT(($J196*1000-coord!$B$2)^2+($K196*1000-coord!$C$2)^2+($L196*1000-coord!$D$2)^2)/coord!$B$6</f>
        <v>7.4852098207588008E-2</v>
      </c>
      <c r="Q196" s="5">
        <f>'sv10'!$AA$3+'sv10'!$Z$3*($B196-$O196/3600)+'sv10'!$Y$3*($B196-$O196/3600)^2+'sv10'!$X$3*($B196-$O196/3600)^3+'sv10'!$W$3*($B196-$O196/3600)^4+'sv10'!$V$3*($B196-$O196/3600)^5+'sv10'!$U$3*($B196-$O196/3600)^6+'sv10'!$T$3*($B196-$O196/3600)^7+'sv10'!$S$3*($B196-$O196/3600)^8+K196*coord!$B$7*O196</f>
        <v>8856.4996116726707</v>
      </c>
      <c r="R196" s="5">
        <f>'sv10'!$AA$4+'sv10'!$Z$4*($B196-$O196/3600)+'sv10'!$Y$4*($B196-$O196/3600)^2+'sv10'!$X$4*($B196-$O196/3600)^3+'sv10'!$W$4*($B196-$O196/3600)^4+'sv10'!$V$4*($B196-$O196/3600)^5+'sv10'!$U$4*($B196-$O196/3600)^6+'sv10'!$T$4*($B196-$O196/3600)^7+'sv10'!$S$4*($B196-$O196/3600)^8-J196*coord!$B$7*O196</f>
        <v>-14710.444656266471</v>
      </c>
      <c r="S196" s="5">
        <f>'sv10'!$AA$5+'sv10'!$Z$5*($B196-$O196/3600)+'sv10'!$Y$5*($B196-$O196/3600)^2+'sv10'!$X$5*($B196-$O196/3600)^3+'sv10'!$W$5*($B196-$O196/3600)^4+'sv10'!$V$5*($B196-$O196/3600)^5+'sv10'!$U$5*($B196-$O196/3600)^6+'sv10'!$T$5*($B196-$O196/3600)^7+'sv10'!$S$5*($B196-$O196/3600)^8</f>
        <v>19983.971315090974</v>
      </c>
      <c r="T196">
        <f>coord!$B$6*M196/10^6</f>
        <v>-12891.661598504923</v>
      </c>
      <c r="U196">
        <f>SQRT(($Q196*1000+coord!$B$7*$O196*$R196*1000-coord!$B$2)^2+($R196*1000-coord!$B$7*$O196*$Q196*1000-coord!$C$2)^2+($S196*1000-coord!$D$2)^2)</f>
        <v>22440170.862542097</v>
      </c>
      <c r="V196" s="3">
        <f>$D196-(U196-$T196)-coord!$E$2</f>
        <v>-13.6941406019032</v>
      </c>
      <c r="W196" s="3"/>
      <c r="Y196">
        <f>-(Q196*1000-coord!$B$2)/$U196</f>
        <v>-0.19909034865372519</v>
      </c>
      <c r="Z196">
        <f>-(R196*1000-coord!$C$2)/$U196</f>
        <v>0.69674223807114477</v>
      </c>
      <c r="AA196">
        <f>-(S196*1000-coord!$D$2)/$U196</f>
        <v>-0.68913838203454381</v>
      </c>
      <c r="AB196">
        <v>1</v>
      </c>
      <c r="AD196">
        <v>-0.69815175950199926</v>
      </c>
      <c r="AE196">
        <v>-0.75382422081578204</v>
      </c>
      <c r="AF196">
        <v>-0.68913838203454381</v>
      </c>
      <c r="AG196">
        <v>-0.32406607659496489</v>
      </c>
      <c r="AH196">
        <v>6.8997207843758956E-2</v>
      </c>
      <c r="AI196">
        <v>-0.86056099482509618</v>
      </c>
      <c r="AJ196">
        <v>-0.10852408711026519</v>
      </c>
      <c r="AL196">
        <v>1.1184949390619103</v>
      </c>
      <c r="AM196">
        <v>-0.36503177111747559</v>
      </c>
      <c r="AN196">
        <v>2.3927006847648116</v>
      </c>
      <c r="AO196">
        <v>-3.3652683130388921</v>
      </c>
      <c r="AQ196">
        <v>1.7229318158384364</v>
      </c>
      <c r="AR196">
        <v>0.56139814608810323</v>
      </c>
      <c r="AS196">
        <v>2.6529758744772129</v>
      </c>
      <c r="AT196">
        <v>2.1008546394142673</v>
      </c>
      <c r="AV196">
        <v>31.366683618840007</v>
      </c>
      <c r="AX196">
        <v>20.346057801053725</v>
      </c>
      <c r="BA196">
        <f>SQRT(($Q196*1000+coord!$B$7*$O196*$R196*1000-coord!$B$2-AX$194)^2+($R196*1000-coord!$B$7*$O196*$Q196*1000-coord!$C$2-AX$195)^2+($S196*1000-coord!$D$2-AX$196)^2)</f>
        <v>22440139.971297119</v>
      </c>
      <c r="BB196" s="3">
        <f t="shared" si="41"/>
        <v>5.3079903041280829</v>
      </c>
      <c r="BD196" s="1"/>
      <c r="BE196" s="1"/>
      <c r="BF196" s="1"/>
      <c r="BS196">
        <f>COS(RADIANS(BH194))</f>
        <v>0.70201334597060594</v>
      </c>
      <c r="BT196">
        <v>0</v>
      </c>
      <c r="BU196">
        <f>SIN(RADIANS(BH194))</f>
        <v>0.71216378880083075</v>
      </c>
      <c r="BW196" t="s">
        <v>95</v>
      </c>
      <c r="BX196">
        <v>0.68693693400338174</v>
      </c>
      <c r="BY196">
        <v>0.14470793559055151</v>
      </c>
      <c r="BZ196">
        <v>0.71216378880083075</v>
      </c>
      <c r="CA196">
        <v>0</v>
      </c>
      <c r="CB196" s="1">
        <v>20.936140770083139</v>
      </c>
      <c r="CH196">
        <v>3.0960906201118892</v>
      </c>
      <c r="CI196">
        <v>0.70681675086104379</v>
      </c>
      <c r="CJ196">
        <v>3.1541376161985952</v>
      </c>
      <c r="CK196">
        <v>2.9833266267270924</v>
      </c>
      <c r="CM196">
        <v>0.70201334597060605</v>
      </c>
      <c r="CN196">
        <v>0</v>
      </c>
      <c r="CO196">
        <v>0.71216378880083075</v>
      </c>
      <c r="CP196">
        <v>0</v>
      </c>
      <c r="CR196" s="5">
        <v>-4.7084961628979016E-2</v>
      </c>
      <c r="CS196" s="5">
        <v>5.3431533625895145E-2</v>
      </c>
      <c r="CT196" s="5">
        <v>4.4753635859854253</v>
      </c>
      <c r="CU196" s="5">
        <v>2.9833266267270924</v>
      </c>
    </row>
    <row r="197" spans="1:108">
      <c r="A197">
        <v>52</v>
      </c>
      <c r="B197">
        <f t="shared" si="40"/>
        <v>0.68333333333333335</v>
      </c>
      <c r="C197">
        <v>4</v>
      </c>
      <c r="D197">
        <v>21348749.809</v>
      </c>
      <c r="E197">
        <v>112188433.23849</v>
      </c>
      <c r="F197">
        <v>-1480.702</v>
      </c>
      <c r="G197">
        <v>21348749.381000001</v>
      </c>
      <c r="H197">
        <v>87419554.341480002</v>
      </c>
      <c r="J197" s="5">
        <f>'sv04'!$AA$3+'sv04'!$Z$3*($B197)+'sv04'!$Y$3*($B197)^2+'sv04'!$X$3*($B197)^3+'sv04'!$W$3*($B197)^4+'sv04'!$V$3*($B197)^5+'sv04'!$U$3*($B197)^6+'sv04'!$T$3*($B197)^7+'sv04'!$S$3*($B197)^8</f>
        <v>23123.155250855249</v>
      </c>
      <c r="K197" s="5">
        <f>'sv04'!$AA$4+'sv04'!$Z$4*($B197)+'sv04'!$Y$4*($B197)^2+'sv04'!$X$4*($B197)^3+'sv04'!$W$4*($B197)^4+'sv04'!$V$4*($B197)^5+'sv04'!$U$4*($B197)^6+'sv04'!$T$4*($B197)^7+'sv04'!$S$4*($B197)^8</f>
        <v>-6686.4236981327931</v>
      </c>
      <c r="L197" s="5">
        <f>'sv04'!$AA$5+'sv04'!$Z$5*($B197)+'sv04'!$Y$5*($B197)^2+'sv04'!$X$5*($B197)^3+'sv04'!$W$5*($B197)^4+'sv04'!$V$5*($B197)^5+'sv04'!$U$5*($B197)^6+'sv04'!$T$5*($B197)^7+'sv04'!$S$5*($B197)^8</f>
        <v>11446.224308462219</v>
      </c>
      <c r="M197" s="5">
        <f>'sv04'!$AA$6+'sv04'!$Z$6*$B197+'sv04'!$Y$6*$B197^2+'sv04'!$X$6*$B197^3+'sv04'!$W$6*$B197^4+'sv04'!$V$6*$B197^5+'sv04'!$U$6*$B197^6+'sv04'!$T$6*$B197^7+'sv04'!$S$6*$B197^8</f>
        <v>86.607693348016909</v>
      </c>
      <c r="O197">
        <f>SQRT(($J197*1000-coord!$B$2)^2+($K197*1000-coord!$C$2)^2+($L197*1000-coord!$D$2)^2)/coord!$B$6</f>
        <v>7.1298391189829419E-2</v>
      </c>
      <c r="Q197" s="5">
        <f>'sv04'!$AA$3+'sv04'!$Z$3*($B197-$O197/3600)+'sv04'!$Y$3*($B197-$O197/3600)^2+'sv04'!$X$3*($B197-$O197/3600)^3+'sv04'!$W$3*($B197-$O197/3600)^4+'sv04'!$V$3*($B197-$O197/3600)^5+'sv04'!$U$3*($B197-$O197/3600)^6+'sv04'!$T$3*($B197-$O197/3600)^7+'sv04'!$S$3*($B197-$O197/3600)^8+K197*coord!$B$7*O197</f>
        <v>23123.017340117804</v>
      </c>
      <c r="R197" s="5">
        <f>'sv04'!$AA$4+'sv04'!$Z$4*($B197-$O197/3600)+'sv04'!$Y$4*($B197-$O197/3600)^2+'sv04'!$X$4*($B197-$O197/3600)^3+'sv04'!$W$4*($B197-$O197/3600)^4+'sv04'!$V$4*($B197-$O197/3600)^5+'sv04'!$U$4*($B197-$O197/3600)^6+'sv04'!$T$4*($B197-$O197/3600)^7+'sv04'!$S$4*($B197-$O197/3600)^8-J197*coord!$B$7*O197</f>
        <v>-6686.5711410062595</v>
      </c>
      <c r="S197" s="5">
        <f>'sv04'!$AA$5+'sv04'!$Z$5*($B197-$O197/3600)+'sv04'!$Y$5*($B197-$O197/3600)^2+'sv04'!$X$5*($B197-$O197/3600)^3+'sv04'!$W$5*($B197-$O197/3600)^4+'sv04'!$V$5*($B197-$O197/3600)^5+'sv04'!$U$5*($B197-$O197/3600)^6+'sv04'!$T$5*($B197-$O197/3600)^7+'sv04'!$S$5*($B197-$O197/3600)^8</f>
        <v>11446.411394092156</v>
      </c>
      <c r="T197">
        <f>coord!$B$6*M197/10^6</f>
        <v>25964.333270512238</v>
      </c>
      <c r="U197">
        <f>SQRT(($Q197*1000+coord!$B$7*$O197*$R197*1000-coord!$B$2)^2+($R197*1000-coord!$B$7*$O197*$Q197*1000-coord!$C$2)^2+($S197*1000-coord!$D$2)^2)</f>
        <v>21374724.539432954</v>
      </c>
      <c r="V197" s="3">
        <f>$D197-(U197-$T197)-coord!$E$2</f>
        <v>-10.397162441164255</v>
      </c>
      <c r="W197" s="3"/>
      <c r="Y197">
        <f>-(Q197*1000-coord!$B$2)/$U197</f>
        <v>-0.87646225029736913</v>
      </c>
      <c r="Z197">
        <f>-(R197*1000-coord!$C$2)/$U197</f>
        <v>0.35608137733728074</v>
      </c>
      <c r="AA197">
        <f>-(S197*1000-coord!$D$2)/$U197</f>
        <v>-0.32406607659496489</v>
      </c>
      <c r="AB197">
        <v>1</v>
      </c>
      <c r="AD197">
        <v>1</v>
      </c>
      <c r="AE197">
        <v>1</v>
      </c>
      <c r="AF197">
        <v>1</v>
      </c>
      <c r="AG197">
        <v>1</v>
      </c>
      <c r="AH197">
        <v>1</v>
      </c>
      <c r="AI197">
        <v>1</v>
      </c>
      <c r="AJ197">
        <v>1</v>
      </c>
      <c r="AL197">
        <v>-3.2303239850977223</v>
      </c>
      <c r="AM197">
        <v>-0.37830345959294071</v>
      </c>
      <c r="AN197">
        <v>-3.3652683130388921</v>
      </c>
      <c r="AO197">
        <v>7</v>
      </c>
      <c r="AQ197">
        <v>2.0694425502599443</v>
      </c>
      <c r="AR197">
        <v>0.45330966931852851</v>
      </c>
      <c r="AS197">
        <v>2.1008546394142673</v>
      </c>
      <c r="AT197">
        <v>2.1323425814826011</v>
      </c>
      <c r="AV197">
        <v>-21.697455037385225</v>
      </c>
      <c r="AX197">
        <v>11.889114071681348</v>
      </c>
      <c r="BA197">
        <f>SQRT(($Q197*1000+coord!$B$7*$O197*$R197*1000-coord!$B$2-AX$194)^2+($R197*1000-coord!$B$7*$O197*$Q197*1000-coord!$C$2-AX$195)^2+($S197*1000-coord!$D$2-AX$196)^2)</f>
        <v>21374698.739698395</v>
      </c>
      <c r="BB197" s="3">
        <f t="shared" si="41"/>
        <v>3.5134580460645282</v>
      </c>
      <c r="BD197" s="1"/>
      <c r="BE197" s="1"/>
      <c r="BF197" s="1"/>
      <c r="BX197">
        <v>0</v>
      </c>
      <c r="BY197">
        <v>0</v>
      </c>
      <c r="BZ197">
        <v>0</v>
      </c>
      <c r="CA197">
        <v>1</v>
      </c>
      <c r="CH197">
        <v>2.0694425502599443</v>
      </c>
      <c r="CI197">
        <v>0.45330966931852851</v>
      </c>
      <c r="CJ197">
        <v>2.1008546394142673</v>
      </c>
      <c r="CK197">
        <v>2.1323425814826011</v>
      </c>
      <c r="CM197">
        <v>0</v>
      </c>
      <c r="CN197">
        <v>0</v>
      </c>
      <c r="CO197">
        <v>0</v>
      </c>
      <c r="CP197">
        <v>1</v>
      </c>
      <c r="CR197" s="5">
        <v>-3.3849148940675144E-2</v>
      </c>
      <c r="CS197" s="5">
        <v>1.6994541760312398E-2</v>
      </c>
      <c r="CT197" s="5">
        <v>2.9833266267270928</v>
      </c>
      <c r="CU197" s="5">
        <v>2.1323425814826011</v>
      </c>
    </row>
    <row r="198" spans="1:108">
      <c r="A198">
        <v>52</v>
      </c>
      <c r="B198">
        <f t="shared" si="40"/>
        <v>0.68333333333333335</v>
      </c>
      <c r="C198">
        <v>20</v>
      </c>
      <c r="D198">
        <v>23546554.75</v>
      </c>
      <c r="E198">
        <v>123737969.72047</v>
      </c>
      <c r="F198">
        <v>-3237.2730000000001</v>
      </c>
      <c r="G198">
        <v>23546554.394000001</v>
      </c>
      <c r="H198">
        <v>96419189.622439995</v>
      </c>
      <c r="J198" s="5">
        <f>'sv20'!$AA$3+'sv20'!$Z$3*($B198)+'sv20'!$Y$3*($B198)^2+'sv20'!$X$3*($B198)^3+'sv20'!$W$3*($B198)^4+'sv20'!$V$3*($B198)^5+'sv20'!$U$3*($B198)^6+'sv20'!$T$3*($B198)^7+'sv20'!$S$3*($B198)^8</f>
        <v>14121.798884005339</v>
      </c>
      <c r="K198" s="5">
        <f>'sv20'!$AA$4+'sv20'!$Z$4*($B198)+'sv20'!$Y$4*($B198)^2+'sv20'!$X$4*($B198)^3+'sv20'!$W$4*($B198)^4+'sv20'!$V$4*($B198)^5+'sv20'!$U$4*($B198)^6+'sv20'!$T$4*($B198)^7+'sv20'!$S$4*($B198)^8</f>
        <v>22322.179527543285</v>
      </c>
      <c r="L198" s="5">
        <f>'sv20'!$AA$5+'sv20'!$Z$5*($B198)+'sv20'!$Y$5*($B198)^2+'sv20'!$X$5*($B198)^3+'sv20'!$W$5*($B198)^4+'sv20'!$V$5*($B198)^5+'sv20'!$U$5*($B198)^6+'sv20'!$T$5*($B198)^7+'sv20'!$S$5*($B198)^8</f>
        <v>2893.5461714716471</v>
      </c>
      <c r="M198" s="5">
        <f>'sv20'!$AA$6+'sv20'!$Z$6*$B198+'sv20'!$Y$6*$B198^2+'sv20'!$X$6*$B198^3+'sv20'!$W$6*$B198^4+'sv20'!$V$6*$B198^5+'sv20'!$U$6*$B198^6+'sv20'!$T$6*$B198^7+'sv20'!$S$6*$B198^8</f>
        <v>55.817516102876873</v>
      </c>
      <c r="O198">
        <f>SQRT(($J198*1000-coord!$B$2)^2+($K198*1000-coord!$C$2)^2+($L198*1000-coord!$D$2)^2)/coord!$B$6</f>
        <v>7.8598873787369503E-2</v>
      </c>
      <c r="Q198" s="5">
        <f>'sv20'!$AA$3+'sv20'!$Z$3*($B198-$O198/3600)+'sv20'!$Y$3*($B198-$O198/3600)^2+'sv20'!$X$3*($B198-$O198/3600)^3+'sv20'!$W$3*($B198-$O198/3600)^4+'sv20'!$V$3*($B198-$O198/3600)^5+'sv20'!$U$3*($B198-$O198/3600)^6+'sv20'!$T$3*($B198-$O198/3600)^7+'sv20'!$S$3*($B198-$O198/3600)^8+K198*coord!$B$7*O198</f>
        <v>14121.937062464296</v>
      </c>
      <c r="R198" s="5">
        <f>'sv20'!$AA$4+'sv20'!$Z$4*($B198-$O198/3600)+'sv20'!$Y$4*($B198-$O198/3600)^2+'sv20'!$X$4*($B198-$O198/3600)^3+'sv20'!$W$4*($B198-$O198/3600)^4+'sv20'!$V$4*($B198-$O198/3600)^5+'sv20'!$U$4*($B198-$O198/3600)^6+'sv20'!$T$4*($B198-$O198/3600)^7+'sv20'!$S$4*($B198-$O198/3600)^8-J198*coord!$B$7*O198</f>
        <v>22322.059079347127</v>
      </c>
      <c r="S198" s="5">
        <f>'sv20'!$AA$5+'sv20'!$Z$5*($B198-$O198/3600)+'sv20'!$Y$5*($B198-$O198/3600)^2+'sv20'!$X$5*($B198-$O198/3600)^3+'sv20'!$W$5*($B198-$O198/3600)^4+'sv20'!$V$5*($B198-$O198/3600)^5+'sv20'!$U$5*($B198-$O198/3600)^6+'sv20'!$T$5*($B198-$O198/3600)^7+'sv20'!$S$5*($B198-$O198/3600)^8</f>
        <v>2893.7891370792549</v>
      </c>
      <c r="T198">
        <f>coord!$B$6*M198/10^6</f>
        <v>16733.670351936038</v>
      </c>
      <c r="U198">
        <f>SQRT(($Q198*1000+coord!$B$7*$O198*$R198*1000-coord!$B$2)^2+($R198*1000-coord!$B$7*$O198*$Q198*1000-coord!$C$2)^2+($S198*1000-coord!$D$2)^2)</f>
        <v>23563259.848170862</v>
      </c>
      <c r="V198" s="3">
        <f>$D198-(U198-$T198)-coord!$E$2</f>
        <v>28.572181075811386</v>
      </c>
      <c r="W198" s="3"/>
      <c r="Y198">
        <f>-(Q198*1000-coord!$B$2)/$U198</f>
        <v>-0.41306079695165104</v>
      </c>
      <c r="Z198">
        <f>-(R198*1000-coord!$C$2)/$U198</f>
        <v>-0.90808695418296059</v>
      </c>
      <c r="AA198">
        <f>-(S198*1000-coord!$D$2)/$U198</f>
        <v>6.8997207843758956E-2</v>
      </c>
      <c r="AB198">
        <v>1</v>
      </c>
      <c r="BA198">
        <f>SQRT(($Q198*1000+coord!$B$7*$O198*$R198*1000-coord!$B$2-AX$194)^2+($R198*1000-coord!$B$7*$O198*$Q198*1000-coord!$C$2-AX$195)^2+($S198*1000-coord!$D$2-AX$196)^2)</f>
        <v>23563274.050517224</v>
      </c>
      <c r="BB198" s="3">
        <f t="shared" si="41"/>
        <v>2.4807206419564807</v>
      </c>
      <c r="BD198" s="1"/>
      <c r="BE198" s="1"/>
      <c r="BF198" s="1"/>
    </row>
    <row r="199" spans="1:108">
      <c r="A199">
        <v>52</v>
      </c>
      <c r="B199">
        <f t="shared" si="40"/>
        <v>0.68333333333333335</v>
      </c>
      <c r="C199">
        <v>13</v>
      </c>
      <c r="D199">
        <v>20273347.144000001</v>
      </c>
      <c r="E199">
        <v>106537156.43549</v>
      </c>
      <c r="F199">
        <v>-1032.645</v>
      </c>
      <c r="G199">
        <v>20273345.432999998</v>
      </c>
      <c r="H199">
        <v>83015957.661479995</v>
      </c>
      <c r="J199" s="5">
        <f>'sv13'!$AA$3+'sv13'!$Z$3*($B199)+'sv13'!$Y$3*($B199)^2+'sv13'!$X$3*($B199)^3+'sv13'!$W$3*($B199)^4+'sv13'!$V$3*($B199)^5+'sv13'!$U$3*($B199)^6+'sv13'!$T$3*($B199)^7+'sv13'!$S$3*($B199)^8</f>
        <v>12899.880463461439</v>
      </c>
      <c r="K199" s="5">
        <f>'sv13'!$AA$4+'sv13'!$Z$4*($B199)+'sv13'!$Y$4*($B199)^2+'sv13'!$X$4*($B199)^3+'sv13'!$W$4*($B199)^4+'sv13'!$V$4*($B199)^5+'sv13'!$U$4*($B199)^6+'sv13'!$T$4*($B199)^7+'sv13'!$S$4*($B199)^8</f>
        <v>6853.6918375125078</v>
      </c>
      <c r="L199" s="5">
        <f>'sv13'!$AA$5+'sv13'!$Z$5*($B199)+'sv13'!$Y$5*($B199)^2+'sv13'!$X$5*($B199)^3+'sv13'!$W$5*($B199)^4+'sv13'!$V$5*($B199)^5+'sv13'!$U$5*($B199)^6+'sv13'!$T$5*($B199)^7+'sv13'!$S$5*($B199)^8</f>
        <v>22044.548094532773</v>
      </c>
      <c r="M199" s="5">
        <f>'sv13'!$AA$6+'sv13'!$Z$6*$B199+'sv13'!$Y$6*$B199^2+'sv13'!$X$6*$B199^3+'sv13'!$W$6*$B199^4+'sv13'!$V$6*$B199^5+'sv13'!$U$6*$B199^6+'sv13'!$T$6*$B199^7+'sv13'!$S$6*$B199^8</f>
        <v>304.2190674381381</v>
      </c>
      <c r="O199">
        <f>SQRT(($J199*1000-coord!$B$2)^2+($K199*1000-coord!$C$2)^2+($L199*1000-coord!$D$2)^2)/coord!$B$6</f>
        <v>6.7928905837900483E-2</v>
      </c>
      <c r="Q199" s="5">
        <f>'sv13'!$AA$3+'sv13'!$Z$3*($B199-$O199/3600)+'sv13'!$Y$3*($B199-$O199/3600)^2+'sv13'!$X$3*($B199-$O199/3600)^3+'sv13'!$W$3*($B199-$O199/3600)^4+'sv13'!$V$3*($B199-$O199/3600)^5+'sv13'!$U$3*($B199-$O199/3600)^6+'sv13'!$T$3*($B199-$O199/3600)^7+'sv13'!$S$3*($B199-$O199/3600)^8+K199*coord!$B$7*O199</f>
        <v>12900.031751004923</v>
      </c>
      <c r="R199" s="5">
        <f>'sv13'!$AA$4+'sv13'!$Z$4*($B199-$O199/3600)+'sv13'!$Y$4*($B199-$O199/3600)^2+'sv13'!$X$4*($B199-$O199/3600)^3+'sv13'!$W$4*($B199-$O199/3600)^4+'sv13'!$V$4*($B199-$O199/3600)^5+'sv13'!$U$4*($B199-$O199/3600)^6+'sv13'!$T$4*($B199-$O199/3600)^7+'sv13'!$S$4*($B199-$O199/3600)^8-J199*coord!$B$7*O199</f>
        <v>6853.476164608509</v>
      </c>
      <c r="S199" s="5">
        <f>'sv13'!$AA$5+'sv13'!$Z$5*($B199-$O199/3600)+'sv13'!$Y$5*($B199-$O199/3600)^2+'sv13'!$X$5*($B199-$O199/3600)^3+'sv13'!$W$5*($B199-$O199/3600)^4+'sv13'!$V$5*($B199-$O199/3600)^5+'sv13'!$U$5*($B199-$O199/3600)^6+'sv13'!$T$5*($B199-$O199/3600)^7+'sv13'!$S$5*($B199-$O199/3600)^8</f>
        <v>22044.526955481819</v>
      </c>
      <c r="T199">
        <f>coord!$B$6*M199/10^6</f>
        <v>91202.581997747184</v>
      </c>
      <c r="U199">
        <f>SQRT(($Q199*1000+coord!$B$7*$O199*$R199*1000-coord!$B$2)^2+($R199*1000-coord!$B$7*$O199*$Q199*1000-coord!$C$2)^2+($S199*1000-coord!$D$2)^2)</f>
        <v>20364551.4804487</v>
      </c>
      <c r="V199" s="3">
        <f>$D199-(U199-$T199)-coord!$E$2</f>
        <v>-1.7544509507715702</v>
      </c>
      <c r="W199" s="3"/>
      <c r="Y199">
        <f>-(Q199*1000-coord!$B$2)/$U199</f>
        <v>-0.4179396530474136</v>
      </c>
      <c r="Z199">
        <f>-(R199*1000-coord!$C$2)/$U199</f>
        <v>-0.29113854813353712</v>
      </c>
      <c r="AA199">
        <f>-(S199*1000-coord!$D$2)/$U199</f>
        <v>-0.86056099482509618</v>
      </c>
      <c r="AB199">
        <v>1</v>
      </c>
      <c r="BA199">
        <f>SQRT(($Q199*1000+coord!$B$7*$O199*$R199*1000-coord!$B$2-AX$194)^2+($R199*1000-coord!$B$7*$O199*$Q199*1000-coord!$C$2-AX$195)^2+($S199*1000-coord!$D$2-AX$196)^2)</f>
        <v>20364534.173922289</v>
      </c>
      <c r="BB199" s="3">
        <f t="shared" si="41"/>
        <v>3.6629613888718211</v>
      </c>
      <c r="BD199" s="1"/>
      <c r="BE199" s="1"/>
      <c r="BF199" s="1"/>
    </row>
    <row r="200" spans="1:108">
      <c r="A200">
        <v>52</v>
      </c>
      <c r="B200">
        <f t="shared" si="40"/>
        <v>0.68333333333333335</v>
      </c>
      <c r="C200">
        <v>7</v>
      </c>
      <c r="D200">
        <v>21400329.397999998</v>
      </c>
      <c r="E200">
        <v>112459497.05449</v>
      </c>
      <c r="F200">
        <v>2485.9789999999998</v>
      </c>
      <c r="G200">
        <v>21400328.454</v>
      </c>
      <c r="H200">
        <v>87630777.83247</v>
      </c>
      <c r="J200" s="5">
        <f>'sv07'!$AA$3+'sv07'!$Z$3*($B200)+'sv07'!$Y$3*($B200)^2+'sv07'!$X$3*($B200)^3+'sv07'!$W$3*($B200)^4+'sv07'!$V$3*($B200)^5+'sv07'!$U$3*($B200)^6+'sv07'!$T$3*($B200)^7+'sv07'!$S$3*($B200)^8</f>
        <v>24903.718648350823</v>
      </c>
      <c r="K200" s="5">
        <f>'sv07'!$AA$4+'sv07'!$Z$4*($B200)+'sv07'!$Y$4*($B200)^2+'sv07'!$X$4*($B200)^3+'sv07'!$W$4*($B200)^4+'sv07'!$V$4*($B200)^5+'sv07'!$U$4*($B200)^6+'sv07'!$T$4*($B200)^7+'sv07'!$S$4*($B200)^8</f>
        <v>6555.8523511592866</v>
      </c>
      <c r="L200" s="5">
        <f>'sv07'!$AA$5+'sv07'!$Z$5*($B200)+'sv07'!$Y$5*($B200)^2+'sv07'!$X$5*($B200)^3+'sv07'!$W$5*($B200)^4+'sv07'!$V$5*($B200)^5+'sv07'!$U$5*($B200)^6+'sv07'!$T$5*($B200)^7+'sv07'!$S$5*($B200)^8</f>
        <v>6842.2353056042821</v>
      </c>
      <c r="M200" s="5">
        <f>'sv07'!$AA$6+'sv07'!$Z$6*$B200+'sv07'!$Y$6*$B200^2+'sv07'!$X$6*$B200^3+'sv07'!$W$6*$B200^4+'sv07'!$V$6*$B200^5+'sv07'!$U$6*$B200^6+'sv07'!$T$6*$B200^7+'sv07'!$S$6*$B200^8</f>
        <v>-0.63814458435990817</v>
      </c>
      <c r="O200">
        <f>SQRT(($J200*1000-coord!$B$2)^2+($K200*1000-coord!$C$2)^2+($L200*1000-coord!$D$2)^2)/coord!$B$6</f>
        <v>7.1383083258351535E-2</v>
      </c>
      <c r="Q200" s="5">
        <f>'sv07'!$AA$3+'sv07'!$Z$3*($B200-$O200/3600)+'sv07'!$Y$3*($B200-$O200/3600)^2+'sv07'!$X$3*($B200-$O200/3600)^3+'sv07'!$W$3*($B200-$O200/3600)^4+'sv07'!$V$3*($B200-$O200/3600)^5+'sv07'!$U$3*($B200-$O200/3600)^6+'sv07'!$T$3*($B200-$O200/3600)^7+'sv07'!$S$3*($B200-$O200/3600)^8+K200*coord!$B$7*O200</f>
        <v>24903.815555985489</v>
      </c>
      <c r="R200" s="5">
        <f>'sv07'!$AA$4+'sv07'!$Z$4*($B200-$O200/3600)+'sv07'!$Y$4*($B200-$O200/3600)^2+'sv07'!$X$4*($B200-$O200/3600)^3+'sv07'!$W$4*($B200-$O200/3600)^4+'sv07'!$V$4*($B200-$O200/3600)^5+'sv07'!$U$4*($B200-$O200/3600)^6+'sv07'!$T$4*($B200-$O200/3600)^7+'sv07'!$S$4*($B200-$O200/3600)^8-J200*coord!$B$7*O200</f>
        <v>6555.7115580079153</v>
      </c>
      <c r="S200" s="5">
        <f>'sv07'!$AA$5+'sv07'!$Z$5*($B200-$O200/3600)+'sv07'!$Y$5*($B200-$O200/3600)^2+'sv07'!$X$5*($B200-$O200/3600)^3+'sv07'!$W$5*($B200-$O200/3600)^4+'sv07'!$V$5*($B200-$O200/3600)^5+'sv07'!$U$5*($B200-$O200/3600)^6+'sv07'!$T$5*($B200-$O200/3600)^7+'sv07'!$S$5*($B200-$O200/3600)^8</f>
        <v>6842.0190372653587</v>
      </c>
      <c r="T200">
        <f>coord!$B$6*M200/10^6</f>
        <v>-191.31093350464522</v>
      </c>
      <c r="U200">
        <f>SQRT(($Q200*1000+coord!$B$7*$O200*$R200*1000-coord!$B$2)^2+($R200*1000-coord!$B$7*$O200*$Q200*1000-coord!$C$2)^2+($S200*1000-coord!$D$2)^2)</f>
        <v>21400140.971521541</v>
      </c>
      <c r="V200" s="3">
        <f>$D200-(U200-$T200)-coord!$E$2</f>
        <v>-2.8844550475478172</v>
      </c>
      <c r="W200" s="3" t="s">
        <v>127</v>
      </c>
      <c r="X200" s="1" t="s">
        <v>128</v>
      </c>
      <c r="Y200">
        <f>-(Q200*1000-coord!$B$2)/$U200</f>
        <v>-0.95863561891886373</v>
      </c>
      <c r="Z200">
        <f>-(R200*1000-coord!$C$2)/$U200</f>
        <v>-0.26313571262458574</v>
      </c>
      <c r="AA200">
        <f>-(S200*1000-coord!$D$2)/$U200</f>
        <v>-0.10852408711026519</v>
      </c>
      <c r="AB200">
        <v>1</v>
      </c>
      <c r="BA200">
        <f>SQRT(($Q200*1000+coord!$B$7*$O200*$R200*1000-coord!$B$2-AX$194)^2+($R200*1000-coord!$B$7*$O200*$Q200*1000-coord!$C$2-AX$195)^2+($S200*1000-coord!$D$2-AX$196)^2)</f>
        <v>21400131.00998944</v>
      </c>
      <c r="BB200" s="3">
        <f t="shared" si="41"/>
        <v>-4.8120370181940473</v>
      </c>
      <c r="BC200" s="3" t="s">
        <v>127</v>
      </c>
      <c r="BD200" s="1" t="s">
        <v>128</v>
      </c>
      <c r="BE200" s="1"/>
      <c r="BF200" s="1"/>
    </row>
    <row r="201" spans="1:108">
      <c r="W201" s="3">
        <f>AVERAGE($V194:$V200)</f>
        <v>-3.0996364339121749</v>
      </c>
      <c r="X201" s="1">
        <f>SQRT(DEVSQ($V194:$V200)/6)</f>
        <v>17.215127035520698</v>
      </c>
      <c r="BB201" s="3"/>
      <c r="BC201" s="3">
        <f>AVERAGE($BB194:$BB200)</f>
        <v>6.5394877006091126E-5</v>
      </c>
      <c r="BD201" s="1">
        <f>SQRT(DEVSQ($BB194:$BB200)/6)</f>
        <v>4.8885683852447697</v>
      </c>
      <c r="BE201" s="1"/>
      <c r="BF201" s="1"/>
    </row>
  </sheetData>
  <pageMargins left="0.7" right="0.7" top="0.75" bottom="0.75" header="0.3" footer="0.3"/>
  <pageSetup paperSize="9" orientation="portrait" r:id="rId1"/>
  <drawing r:id="rId2"/>
  <legacyDrawing r:id="rId3"/>
</worksheet>
</file>

<file path=xl/worksheets/sheet14.xml><?xml version="1.0" encoding="utf-8"?>
<worksheet xmlns="http://schemas.openxmlformats.org/spreadsheetml/2006/main" xmlns:r="http://schemas.openxmlformats.org/officeDocument/2006/relationships">
  <dimension ref="A1:R200"/>
  <sheetViews>
    <sheetView tabSelected="1" workbookViewId="0">
      <selection activeCell="K2" sqref="K2"/>
    </sheetView>
  </sheetViews>
  <sheetFormatPr defaultRowHeight="15"/>
  <cols>
    <col min="2" max="2" width="17.42578125" customWidth="1"/>
    <col min="10" max="10" width="12.7109375" style="7" bestFit="1" customWidth="1"/>
    <col min="11" max="11" width="12.7109375" bestFit="1" customWidth="1"/>
    <col min="15" max="15" width="9.140625" style="7"/>
    <col min="18" max="18" width="9.140625" style="7"/>
  </cols>
  <sheetData>
    <row r="1" spans="1:18">
      <c r="A1">
        <f>tetto_ionofree_PR!A1</f>
        <v>0</v>
      </c>
      <c r="B1" t="str">
        <f>tetto_ionofree_PR!B1</f>
        <v>T( ore dopo le 8:45)</v>
      </c>
      <c r="C1">
        <f>tetto_ionofree_PR!C1</f>
        <v>0</v>
      </c>
      <c r="D1" t="str">
        <f>tetto_ionofree_PR!D1</f>
        <v>IONOFREE a*C1-b*P2</v>
      </c>
      <c r="E1" t="s">
        <v>51</v>
      </c>
      <c r="F1" t="s">
        <v>54</v>
      </c>
      <c r="G1" t="s">
        <v>161</v>
      </c>
      <c r="H1" t="s">
        <v>162</v>
      </c>
      <c r="I1" t="s">
        <v>166</v>
      </c>
      <c r="J1" s="7" t="s">
        <v>174</v>
      </c>
      <c r="K1" t="s">
        <v>175</v>
      </c>
      <c r="L1" t="s">
        <v>167</v>
      </c>
      <c r="M1" t="s">
        <v>168</v>
      </c>
      <c r="N1" t="s">
        <v>169</v>
      </c>
      <c r="O1" s="7" t="s">
        <v>170</v>
      </c>
      <c r="P1" t="s">
        <v>171</v>
      </c>
      <c r="Q1" t="s">
        <v>172</v>
      </c>
      <c r="R1" s="7" t="s">
        <v>173</v>
      </c>
    </row>
    <row r="2" spans="1:18">
      <c r="A2">
        <f>tetto_ionofree_PR!A2</f>
        <v>0</v>
      </c>
      <c r="B2">
        <f>tetto_ionofree_PR!B2</f>
        <v>0.25</v>
      </c>
      <c r="C2">
        <f>tetto_ionofree_PR!C2</f>
        <v>2</v>
      </c>
      <c r="D2">
        <f>tetto_ionofree_PR!D2</f>
        <v>22932690.361807212</v>
      </c>
      <c r="E2">
        <f>tetto!$D2</f>
        <v>22932685.280999999</v>
      </c>
      <c r="F2">
        <f>tetto!$G2</f>
        <v>22932681.993999999</v>
      </c>
      <c r="G2">
        <f>tetto_ionofree_PR!$E2</f>
        <v>26.937625953512686</v>
      </c>
      <c r="H2">
        <f>tetto_ionofree_PR!$L2</f>
        <v>-49.665925145571975</v>
      </c>
      <c r="I2">
        <f>DEGREES(ACOS(6378*COS(RADIANS(G2))/(6378+coord!B$18)))</f>
        <v>32.977032698650504</v>
      </c>
      <c r="J2" s="7">
        <f>-(10^-16)*(E2-$D2)*(coord!$B$10*10^6)^2*SIN(RADIANS($I2))/40.3</f>
        <v>17.031815833101717</v>
      </c>
      <c r="K2">
        <f>-(10^-16)*(F2-$D2)*(coord!$B$11*10^6)^2*SIN(RADIANS($I2))/40.3</f>
        <v>17.031815834936246</v>
      </c>
      <c r="L2">
        <f>DEGREES(coord!$B$18/(6378*TAN(RADIANS(I2))))</f>
        <v>5.5381146612976098</v>
      </c>
      <c r="M2">
        <f>lat(coord!$B$2,coord!$C$2,coord!$D$2)</f>
        <v>45.411171275371856</v>
      </c>
      <c r="N2">
        <f>lon(coord!$B$2,coord!$C$2,coord!$D$2)</f>
        <v>11.896106531717408</v>
      </c>
      <c r="O2" s="7">
        <f>DEGREES(ASIN(SIN(RADIANS(M2))*COS(RADIANS(L2))+COS(RADIANS(M2))*SIN(RADIANS(L2))*COS(RADIANS(H2))))</f>
        <v>48.823881128632372</v>
      </c>
      <c r="P2">
        <f>SIN(RADIANS(L2))*SIN(RADIANS(H2))/COS(RADIANS(O2))</f>
        <v>-0.11173919263699571</v>
      </c>
      <c r="Q2">
        <f>(COS(RADIANS(L2))-SIN(RADIANS(M2))*SIN(RADIANS(O2)))/(COS(RADIANS(M2))*COS(RADIANS(O2)))</f>
        <v>0.99373756738327657</v>
      </c>
      <c r="R2" s="7">
        <f>N2+DEGREES(ATAN2(Q2,P2))</f>
        <v>5.4805244042151786</v>
      </c>
    </row>
    <row r="3" spans="1:18">
      <c r="A3">
        <f>tetto_ionofree_PR!A3</f>
        <v>0</v>
      </c>
      <c r="B3">
        <f>tetto_ionofree_PR!B3</f>
        <v>0.25</v>
      </c>
      <c r="C3">
        <f>tetto_ionofree_PR!C3</f>
        <v>23</v>
      </c>
      <c r="D3">
        <f>tetto_ionofree_PR!D3</f>
        <v>20853426.639321588</v>
      </c>
      <c r="E3">
        <f>tetto!$D3</f>
        <v>20853421.219999999</v>
      </c>
      <c r="F3">
        <f>tetto!$G3</f>
        <v>20853417.714000002</v>
      </c>
      <c r="G3">
        <f>tetto_ionofree_PR!$E3</f>
        <v>56.783485074075664</v>
      </c>
      <c r="H3">
        <f>tetto_ionofree_PR!$L3</f>
        <v>53.608315247378961</v>
      </c>
      <c r="I3">
        <f>DEGREES(ACOS(6378*COS(RADIANS(G3))/(6378+coord!B$18)))</f>
        <v>58.97072252700962</v>
      </c>
      <c r="J3" s="7">
        <f>-(10^-16)*(E3-$D3)*(coord!$B$10*10^6)^2*SIN(RADIANS($I3))/40.3</f>
        <v>28.599916269264344</v>
      </c>
      <c r="K3">
        <f>-(10^-16)*(F3-$D3)*(coord!$B$11*10^6)^2*SIN(RADIANS($I3))/40.3</f>
        <v>28.599916277229084</v>
      </c>
      <c r="L3">
        <f>DEGREES(coord!$B$18/(6378*TAN(RADIANS(I3))))</f>
        <v>2.1615953219631105</v>
      </c>
      <c r="M3">
        <f>lat(coord!$B$2,coord!$C$2,coord!$D$2)</f>
        <v>45.411171275371856</v>
      </c>
      <c r="N3">
        <f>lon(coord!$B$2,coord!$C$2,coord!$D$2)</f>
        <v>11.896106531717408</v>
      </c>
      <c r="O3" s="7">
        <f t="shared" ref="O3:O8" si="0">DEGREES(ASIN(SIN(RADIANS(M3))*COS(RADIANS(L3))+COS(RADIANS(M3))*SIN(RADIANS(L3))*COS(RADIANS(H3))))</f>
        <v>46.666026194036725</v>
      </c>
      <c r="P3">
        <f t="shared" ref="P3:P8" si="1">SIN(RADIANS(L3))*SIN(RADIANS(H3))/COS(RADIANS(O3))</f>
        <v>4.4243712551434167E-2</v>
      </c>
      <c r="Q3">
        <f t="shared" ref="Q3:Q8" si="2">(COS(RADIANS(L3))-SIN(RADIANS(M3))*SIN(RADIANS(O3)))/(COS(RADIANS(M3))*COS(RADIANS(O3)))</f>
        <v>0.99902076750169011</v>
      </c>
      <c r="R3" s="7">
        <f t="shared" ref="R3:R8" si="3">N3+DEGREES(ATAN2(Q3,P3))</f>
        <v>14.43191229942455</v>
      </c>
    </row>
    <row r="4" spans="1:18">
      <c r="A4">
        <f>tetto_ionofree_PR!A4</f>
        <v>0</v>
      </c>
      <c r="B4">
        <f>tetto_ionofree_PR!B4</f>
        <v>0.25</v>
      </c>
      <c r="C4">
        <f>tetto_ionofree_PR!C4</f>
        <v>10</v>
      </c>
      <c r="D4">
        <f>tetto_ionofree_PR!D4</f>
        <v>23348009.878695577</v>
      </c>
      <c r="E4">
        <f>tetto!$D4</f>
        <v>23348010.057999998</v>
      </c>
      <c r="F4">
        <f>tetto!$G4</f>
        <v>23348010.173999999</v>
      </c>
      <c r="G4">
        <f>tetto_ionofree_PR!$E4</f>
        <v>21.303891838011623</v>
      </c>
      <c r="H4">
        <f>tetto_ionofree_PR!$L4</f>
        <v>-62.430108730463814</v>
      </c>
      <c r="I4">
        <f>DEGREES(ACOS(6378*COS(RADIANS(G4))/(6378+coord!B$18)))</f>
        <v>28.755002834775851</v>
      </c>
      <c r="J4" s="7">
        <f>-(10^-16)*(E4-$D4)*(coord!$B$10*10^6)^2*SIN(RADIANS($I4))/40.3</f>
        <v>-0.53123014303195026</v>
      </c>
      <c r="K4">
        <f>-(10^-16)*(F4-$D4)*(coord!$B$11*10^6)^2*SIN(RADIANS($I4))/40.3</f>
        <v>-0.53123014553384862</v>
      </c>
      <c r="L4">
        <f>DEGREES(coord!$B$18/(6378*TAN(RADIANS(I4))))</f>
        <v>6.5484348924953864</v>
      </c>
      <c r="M4">
        <f>lat(coord!$B$2,coord!$C$2,coord!$D$2)</f>
        <v>45.411171275371856</v>
      </c>
      <c r="N4">
        <f>lon(coord!$B$2,coord!$C$2,coord!$D$2)</f>
        <v>11.896106531717408</v>
      </c>
      <c r="O4" s="7">
        <f t="shared" si="0"/>
        <v>48.122245051103711</v>
      </c>
      <c r="P4">
        <f t="shared" si="1"/>
        <v>-0.15144052688421997</v>
      </c>
      <c r="Q4">
        <f t="shared" si="2"/>
        <v>0.98846637111083835</v>
      </c>
      <c r="R4" s="7">
        <f t="shared" si="3"/>
        <v>3.1856901039910248</v>
      </c>
    </row>
    <row r="5" spans="1:18">
      <c r="A5">
        <f>tetto_ionofree_PR!A5</f>
        <v>0</v>
      </c>
      <c r="B5">
        <f>tetto_ionofree_PR!B5</f>
        <v>0.25</v>
      </c>
      <c r="C5">
        <f>tetto_ionofree_PR!C5</f>
        <v>4</v>
      </c>
      <c r="D5">
        <f>tetto_ionofree_PR!D5</f>
        <v>21052367.922543153</v>
      </c>
      <c r="E5">
        <f>tetto!$D5</f>
        <v>21052366.907000002</v>
      </c>
      <c r="F5">
        <f>tetto!$G5</f>
        <v>21052366.25</v>
      </c>
      <c r="G5">
        <f>tetto_ionofree_PR!$E5</f>
        <v>56.086995092518279</v>
      </c>
      <c r="H5">
        <f>tetto_ionofree_PR!$L5</f>
        <v>257.99083658865516</v>
      </c>
      <c r="I5">
        <f>DEGREES(ACOS(6378*COS(RADIANS(G5))/(6378+coord!B$18)))</f>
        <v>58.331262166924759</v>
      </c>
      <c r="J5" s="7">
        <f>-(10^-16)*(E5-$D5)*(coord!$B$10*10^6)^2*SIN(RADIANS($I5))/40.3</f>
        <v>5.323110222532299</v>
      </c>
      <c r="K5">
        <f>-(10^-16)*(F5-$D5)*(coord!$B$11*10^6)^2*SIN(RADIANS($I5))/40.3</f>
        <v>5.3231102272056479</v>
      </c>
      <c r="L5">
        <f>DEGREES(coord!$B$18/(6378*TAN(RADIANS(I5))))</f>
        <v>2.2165833947315341</v>
      </c>
      <c r="M5">
        <f>lat(coord!$B$2,coord!$C$2,coord!$D$2)</f>
        <v>45.411171275371856</v>
      </c>
      <c r="N5">
        <f>lon(coord!$B$2,coord!$C$2,coord!$D$2)</f>
        <v>11.896106531717408</v>
      </c>
      <c r="O5" s="7">
        <f t="shared" si="0"/>
        <v>44.908823005601953</v>
      </c>
      <c r="P5">
        <f t="shared" si="1"/>
        <v>-5.3415551560202293E-2</v>
      </c>
      <c r="Q5">
        <f t="shared" si="2"/>
        <v>0.99857237036256896</v>
      </c>
      <c r="R5" s="7">
        <f t="shared" si="3"/>
        <v>8.8341636214110011</v>
      </c>
    </row>
    <row r="6" spans="1:18">
      <c r="A6">
        <f>tetto_ionofree_PR!A6</f>
        <v>0</v>
      </c>
      <c r="B6">
        <f>tetto_ionofree_PR!B6</f>
        <v>0.25</v>
      </c>
      <c r="C6">
        <f>tetto_ionofree_PR!C6</f>
        <v>20</v>
      </c>
      <c r="D6">
        <f>tetto_ionofree_PR!D6</f>
        <v>22635209.699081145</v>
      </c>
      <c r="E6">
        <f>tetto!$D6</f>
        <v>22635209.239999998</v>
      </c>
      <c r="F6">
        <f>tetto!$G6</f>
        <v>22635208.943</v>
      </c>
      <c r="G6">
        <f>tetto_ionofree_PR!$E6</f>
        <v>31.577455643899668</v>
      </c>
      <c r="H6">
        <f>tetto_ionofree_PR!$L6</f>
        <v>113.12666141649049</v>
      </c>
      <c r="I6">
        <f>DEGREES(ACOS(6378*COS(RADIANS(G6))/(6378+coord!B$18)))</f>
        <v>36.711404309229145</v>
      </c>
      <c r="J6" s="7">
        <f>-(10^-16)*(E6-$D6)*(coord!$B$10*10^6)^2*SIN(RADIANS($I6))/40.3</f>
        <v>1.6901370910477558</v>
      </c>
      <c r="K6">
        <f>-(10^-16)*(F6-$D6)*(coord!$B$11*10^6)^2*SIN(RADIANS($I6))/40.3</f>
        <v>1.690137093007027</v>
      </c>
      <c r="L6">
        <f>DEGREES(coord!$B$18/(6378*TAN(RADIANS(I6))))</f>
        <v>4.8188311637874905</v>
      </c>
      <c r="M6">
        <f>lat(coord!$B$2,coord!$C$2,coord!$D$2)</f>
        <v>45.411171275371856</v>
      </c>
      <c r="N6">
        <f>lon(coord!$B$2,coord!$C$2,coord!$D$2)</f>
        <v>11.896106531717408</v>
      </c>
      <c r="O6" s="7">
        <f t="shared" si="0"/>
        <v>43.352359509818669</v>
      </c>
      <c r="P6">
        <f t="shared" si="1"/>
        <v>0.10624360622553304</v>
      </c>
      <c r="Q6">
        <f t="shared" si="2"/>
        <v>0.99434013100960295</v>
      </c>
      <c r="R6" s="7">
        <f t="shared" si="3"/>
        <v>17.994927291613134</v>
      </c>
    </row>
    <row r="7" spans="1:18">
      <c r="A7">
        <f>tetto_ionofree_PR!A7</f>
        <v>0</v>
      </c>
      <c r="B7">
        <f>tetto_ionofree_PR!B7</f>
        <v>0.25</v>
      </c>
      <c r="C7">
        <f>tetto_ionofree_PR!C7</f>
        <v>13</v>
      </c>
      <c r="D7">
        <f>tetto_ionofree_PR!D7</f>
        <v>20063891.04438515</v>
      </c>
      <c r="E7">
        <f>tetto!$D7</f>
        <v>20063887.837000001</v>
      </c>
      <c r="F7">
        <f>tetto!$G7</f>
        <v>20063885.761999998</v>
      </c>
      <c r="G7">
        <f>tetto_ionofree_PR!$E7</f>
        <v>80.391438237083506</v>
      </c>
      <c r="H7">
        <f>tetto_ionofree_PR!$L7</f>
        <v>4.37444693195215</v>
      </c>
      <c r="I7">
        <f>DEGREES(ACOS(6378*COS(RADIANS(G7))/(6378+coord!B$18)))</f>
        <v>80.963384805980667</v>
      </c>
      <c r="J7" s="7">
        <f>-(10^-16)*(E7-$D7)*(coord!$B$10*10^6)^2*SIN(RADIANS($I7))/40.3</f>
        <v>19.508085722900262</v>
      </c>
      <c r="K7">
        <f>-(10^-16)*(F7-$D7)*(coord!$B$11*10^6)^2*SIN(RADIANS($I7))/40.3</f>
        <v>19.50808572192576</v>
      </c>
      <c r="L7">
        <f>DEGREES(coord!$B$18/(6378*TAN(RADIANS(I7))))</f>
        <v>0.57148306584670494</v>
      </c>
      <c r="M7">
        <f>lat(coord!$B$2,coord!$C$2,coord!$D$2)</f>
        <v>45.411171275371856</v>
      </c>
      <c r="N7">
        <f>lon(coord!$B$2,coord!$C$2,coord!$D$2)</f>
        <v>11.896106531717408</v>
      </c>
      <c r="O7" s="7">
        <f t="shared" si="0"/>
        <v>45.980972487718169</v>
      </c>
      <c r="P7">
        <f t="shared" si="1"/>
        <v>1.0947916400821673E-3</v>
      </c>
      <c r="Q7">
        <f t="shared" si="2"/>
        <v>0.99999940071545268</v>
      </c>
      <c r="R7" s="7">
        <f t="shared" si="3"/>
        <v>11.958833484670754</v>
      </c>
    </row>
    <row r="8" spans="1:18">
      <c r="A8">
        <f>tetto_ionofree_PR!A8</f>
        <v>0</v>
      </c>
      <c r="B8">
        <f>tetto_ionofree_PR!B8</f>
        <v>0.25</v>
      </c>
      <c r="C8">
        <f>tetto_ionofree_PR!C8</f>
        <v>7</v>
      </c>
      <c r="D8">
        <f>tetto_ionofree_PR!D8</f>
        <v>22241401.541256338</v>
      </c>
      <c r="E8">
        <f>tetto!$D8</f>
        <v>22241401.634</v>
      </c>
      <c r="F8">
        <f>tetto!$G8</f>
        <v>22241401.693999998</v>
      </c>
      <c r="G8">
        <f>tetto_ionofree_PR!$E8</f>
        <v>38.190182347635634</v>
      </c>
      <c r="H8">
        <f>tetto_ionofree_PR!$L8</f>
        <v>177.20777280434518</v>
      </c>
      <c r="I8">
        <f>DEGREES(ACOS(6378*COS(RADIANS(G8))/(6378+coord!B$18)))</f>
        <v>42.304377425209225</v>
      </c>
      <c r="J8" s="7">
        <f>-(10^-16)*(E8-$D8)*(coord!$B$10*10^6)^2*SIN(RADIANS($I8))/40.3</f>
        <v>-0.38444259554026866</v>
      </c>
      <c r="K8">
        <f>-(10^-16)*(F8-$D8)*(coord!$B$11*10^6)^2*SIN(RADIANS($I8))/40.3</f>
        <v>-0.38444260121028567</v>
      </c>
      <c r="L8">
        <f>DEGREES(coord!$B$18/(6378*TAN(RADIANS(I8))))</f>
        <v>3.9484211970422955</v>
      </c>
      <c r="M8">
        <f>lat(coord!$B$2,coord!$C$2,coord!$D$2)</f>
        <v>45.411171275371856</v>
      </c>
      <c r="N8">
        <f>lon(coord!$B$2,coord!$C$2,coord!$D$2)</f>
        <v>11.896106531717408</v>
      </c>
      <c r="O8" s="7">
        <f t="shared" si="0"/>
        <v>41.467138160846453</v>
      </c>
      <c r="P8">
        <f t="shared" si="1"/>
        <v>4.476482135162216E-3</v>
      </c>
      <c r="Q8">
        <f t="shared" si="2"/>
        <v>0.99998998050365162</v>
      </c>
      <c r="R8" s="7">
        <f t="shared" si="3"/>
        <v>12.15259092174329</v>
      </c>
    </row>
    <row r="10" spans="1:18">
      <c r="A10">
        <f>tetto_ionofree_PR!A10</f>
        <v>2</v>
      </c>
      <c r="B10">
        <f>tetto_ionofree_PR!B10</f>
        <v>0.26666666666666666</v>
      </c>
      <c r="C10">
        <f>tetto_ionofree_PR!C10</f>
        <v>2</v>
      </c>
      <c r="D10">
        <f>tetto_ionofree_PR!D10</f>
        <v>22903046.65097037</v>
      </c>
      <c r="E10">
        <f>tetto!$D10</f>
        <v>22903042.190000001</v>
      </c>
      <c r="F10">
        <f>tetto!$G10</f>
        <v>22903039.304000001</v>
      </c>
      <c r="G10">
        <f>tetto_ionofree_PR!$E10</f>
        <v>27.249658304555723</v>
      </c>
      <c r="H10">
        <f>tetto_ionofree_PR!$L10</f>
        <v>-49.954261033118485</v>
      </c>
      <c r="I10">
        <f>DEGREES(ACOS(6378*COS(RADIANS(G10))/(6378+coord!B$18)))</f>
        <v>33.2219118298013</v>
      </c>
      <c r="J10" s="7">
        <f>-(10^-16)*(E10-$D10)*(coord!$B$10*10^6)^2*SIN(RADIANS($I10))/40.3</f>
        <v>15.05237319653032</v>
      </c>
      <c r="K10">
        <f>-(10^-16)*(F10-$D10)*(coord!$B$11*10^6)^2*SIN(RADIANS($I10))/40.3</f>
        <v>15.052373203452415</v>
      </c>
      <c r="L10">
        <f>DEGREES(coord!$B$18/(6378*TAN(RADIANS(I10))))</f>
        <v>5.4866158291136813</v>
      </c>
      <c r="M10">
        <f>lat(coord!$B$2,coord!$C$2,coord!$D$2)</f>
        <v>45.411171275371856</v>
      </c>
      <c r="N10">
        <f>lon(coord!$B$2,coord!$C$2,coord!$D$2)</f>
        <v>11.896106531717408</v>
      </c>
      <c r="O10" s="7">
        <f t="shared" ref="O9:O53" si="4">DEGREES(ASIN(SIN(RADIANS(M10))*COS(RADIANS(L10))+COS(RADIANS(M10))*SIN(RADIANS(L10))*COS(RADIANS(H10))))</f>
        <v>48.77142660718529</v>
      </c>
      <c r="P10">
        <f t="shared" ref="P9:P53" si="5">SIN(RADIANS(L10))*SIN(RADIANS(H10))/COS(RADIANS(O10))</f>
        <v>-0.11105875663349304</v>
      </c>
      <c r="Q10">
        <f t="shared" ref="Q9:Q53" si="6">(COS(RADIANS(L10))-SIN(RADIANS(M10))*SIN(RADIANS(O10)))/(COS(RADIANS(M10))*COS(RADIANS(O10)))</f>
        <v>0.99381384201218625</v>
      </c>
      <c r="R10" s="7">
        <f t="shared" ref="R9:R53" si="7">N10+DEGREES(ATAN2(Q10,P10))</f>
        <v>5.519754694835151</v>
      </c>
    </row>
    <row r="11" spans="1:18">
      <c r="A11">
        <f>tetto_ionofree_PR!A11</f>
        <v>2</v>
      </c>
      <c r="B11">
        <f>tetto_ionofree_PR!B11</f>
        <v>0.26666666666666666</v>
      </c>
      <c r="C11">
        <f>tetto_ionofree_PR!C11</f>
        <v>23</v>
      </c>
      <c r="D11">
        <f>tetto_ionofree_PR!D11</f>
        <v>20873104.925474457</v>
      </c>
      <c r="E11">
        <f>tetto!$D11</f>
        <v>20873099.670000002</v>
      </c>
      <c r="F11">
        <f>tetto!$G11</f>
        <v>20873096.27</v>
      </c>
      <c r="G11">
        <f>tetto_ionofree_PR!$E11</f>
        <v>56.349512390516608</v>
      </c>
      <c r="H11">
        <f>tetto_ionofree_PR!$L11</f>
        <v>53.847362878991731</v>
      </c>
      <c r="I11">
        <f>DEGREES(ACOS(6378*COS(RADIANS(G11))/(6378+coord!B$18)))</f>
        <v>58.572188890066364</v>
      </c>
      <c r="J11" s="7">
        <f>-(10^-16)*(E11-$D11)*(coord!$B$10*10^6)^2*SIN(RADIANS($I11))/40.3</f>
        <v>27.618508343764315</v>
      </c>
      <c r="K11">
        <f>-(10^-16)*(F11-$D11)*(coord!$B$11*10^6)^2*SIN(RADIANS($I11))/40.3</f>
        <v>27.618508344497346</v>
      </c>
      <c r="L11">
        <f>DEGREES(coord!$B$18/(6378*TAN(RADIANS(I11))))</f>
        <v>2.1957778481426637</v>
      </c>
      <c r="M11">
        <f>lat(coord!$B$2,coord!$C$2,coord!$D$2)</f>
        <v>45.411171275371856</v>
      </c>
      <c r="N11">
        <f>lon(coord!$B$2,coord!$C$2,coord!$D$2)</f>
        <v>11.896106531717408</v>
      </c>
      <c r="O11" s="7">
        <f t="shared" si="4"/>
        <v>46.677856701675438</v>
      </c>
      <c r="P11">
        <f t="shared" si="5"/>
        <v>4.5090703246246436E-2</v>
      </c>
      <c r="Q11">
        <f t="shared" si="6"/>
        <v>0.99898289699111431</v>
      </c>
      <c r="R11" s="7">
        <f t="shared" si="7"/>
        <v>14.480489777088902</v>
      </c>
    </row>
    <row r="12" spans="1:18">
      <c r="A12">
        <f>tetto_ionofree_PR!A12</f>
        <v>2</v>
      </c>
      <c r="B12">
        <f>tetto_ionofree_PR!B12</f>
        <v>0.26666666666666666</v>
      </c>
      <c r="C12">
        <f>tetto_ionofree_PR!C12</f>
        <v>10</v>
      </c>
      <c r="D12">
        <f>tetto_ionofree_PR!D12</f>
        <v>23312310.695527695</v>
      </c>
      <c r="E12">
        <f>tetto!$D12</f>
        <v>23312310.796</v>
      </c>
      <c r="F12">
        <f>tetto!$G12</f>
        <v>23312310.861000001</v>
      </c>
      <c r="G12">
        <f>tetto_ionofree_PR!$E12</f>
        <v>21.690517065361291</v>
      </c>
      <c r="H12">
        <f>tetto_ionofree_PR!$L12</f>
        <v>-62.2437632438224</v>
      </c>
      <c r="I12">
        <f>DEGREES(ACOS(6378*COS(RADIANS(G12))/(6378+coord!B$18)))</f>
        <v>29.030927177106761</v>
      </c>
      <c r="J12" s="7">
        <f>-(10^-16)*(E12-$D12)*(coord!$B$10*10^6)^2*SIN(RADIANS($I12))/40.3</f>
        <v>-0.30028103264527856</v>
      </c>
      <c r="K12">
        <f>-(10^-16)*(F12-$D12)*(coord!$B$11*10^6)^2*SIN(RADIANS($I12))/40.3</f>
        <v>-0.30028103594841149</v>
      </c>
      <c r="L12">
        <f>DEGREES(coord!$B$18/(6378*TAN(RADIANS(I12))))</f>
        <v>6.4743096900257884</v>
      </c>
      <c r="M12">
        <f>lat(coord!$B$2,coord!$C$2,coord!$D$2)</f>
        <v>45.411171275371856</v>
      </c>
      <c r="N12">
        <f>lon(coord!$B$2,coord!$C$2,coord!$D$2)</f>
        <v>11.896106531717408</v>
      </c>
      <c r="O12" s="7">
        <f t="shared" si="4"/>
        <v>48.114938099487283</v>
      </c>
      <c r="P12">
        <f t="shared" si="5"/>
        <v>-0.14945732191322886</v>
      </c>
      <c r="Q12">
        <f t="shared" si="6"/>
        <v>0.98876817754543755</v>
      </c>
      <c r="R12" s="7">
        <f t="shared" si="7"/>
        <v>3.300627643109884</v>
      </c>
    </row>
    <row r="13" spans="1:18">
      <c r="A13">
        <f>tetto_ionofree_PR!A13</f>
        <v>2</v>
      </c>
      <c r="B13">
        <f>tetto_ionofree_PR!B13</f>
        <v>0.26666666666666666</v>
      </c>
      <c r="C13">
        <f>tetto_ionofree_PR!C13</f>
        <v>4</v>
      </c>
      <c r="D13">
        <f>tetto_ionofree_PR!D13</f>
        <v>21058306.769019745</v>
      </c>
      <c r="E13">
        <f>tetto!$D13</f>
        <v>21058306.142999999</v>
      </c>
      <c r="F13">
        <f>tetto!$G13</f>
        <v>21058305.738000002</v>
      </c>
      <c r="G13">
        <f>tetto_ionofree_PR!$E13</f>
        <v>56.009632218621242</v>
      </c>
      <c r="H13">
        <f>tetto_ionofree_PR!$L13</f>
        <v>257.14413531218355</v>
      </c>
      <c r="I13">
        <f>DEGREES(ACOS(6378*COS(RADIANS(G13))/(6378+coord!B$18)))</f>
        <v>58.260284261623084</v>
      </c>
      <c r="J13" s="7">
        <f>-(10^-16)*(E13-$D13)*(coord!$B$10*10^6)^2*SIN(RADIANS($I13))/40.3</f>
        <v>3.2788592682000051</v>
      </c>
      <c r="K13">
        <f>-(10^-16)*(F13-$D13)*(coord!$B$11*10^6)^2*SIN(RADIANS($I13))/40.3</f>
        <v>3.2788592702271946</v>
      </c>
      <c r="L13">
        <f>DEGREES(coord!$B$18/(6378*TAN(RADIANS(I13))))</f>
        <v>2.2227333512858305</v>
      </c>
      <c r="M13">
        <f>lat(coord!$B$2,coord!$C$2,coord!$D$2)</f>
        <v>45.411171275371856</v>
      </c>
      <c r="N13">
        <f>lon(coord!$B$2,coord!$C$2,coord!$D$2)</f>
        <v>11.896106531717408</v>
      </c>
      <c r="O13" s="7">
        <f t="shared" si="4"/>
        <v>44.875538846586352</v>
      </c>
      <c r="P13">
        <f t="shared" si="5"/>
        <v>-5.3358566667335974E-2</v>
      </c>
      <c r="Q13">
        <f t="shared" si="6"/>
        <v>0.99857541696318963</v>
      </c>
      <c r="R13" s="7">
        <f t="shared" si="7"/>
        <v>8.83743327814555</v>
      </c>
    </row>
    <row r="14" spans="1:18">
      <c r="A14">
        <f>tetto_ionofree_PR!A14</f>
        <v>2</v>
      </c>
      <c r="B14">
        <f>tetto_ionofree_PR!B14</f>
        <v>0.26666666666666666</v>
      </c>
      <c r="C14">
        <f>tetto_ionofree_PR!C14</f>
        <v>20</v>
      </c>
      <c r="D14">
        <f>tetto_ionofree_PR!D14</f>
        <v>22668269.075913265</v>
      </c>
      <c r="E14">
        <f>tetto!$D14</f>
        <v>22668268.537999999</v>
      </c>
      <c r="F14">
        <f>tetto!$G14</f>
        <v>22668268.190000001</v>
      </c>
      <c r="G14">
        <f>tetto_ionofree_PR!$E14</f>
        <v>31.190214232665987</v>
      </c>
      <c r="H14">
        <f>tetto_ionofree_PR!$L14</f>
        <v>113.42216305167908</v>
      </c>
      <c r="I14">
        <f>DEGREES(ACOS(6378*COS(RADIANS(G14))/(6378+coord!B$18)))</f>
        <v>36.392772766455252</v>
      </c>
      <c r="J14" s="7">
        <f>-(10^-16)*(E14-$D14)*(coord!$B$10*10^6)^2*SIN(RADIANS($I14))/40.3</f>
        <v>1.9655630037756773</v>
      </c>
      <c r="K14">
        <f>-(10^-16)*(F14-$D14)*(coord!$B$11*10^6)^2*SIN(RADIANS($I14))/40.3</f>
        <v>1.9655629994203507</v>
      </c>
      <c r="L14">
        <f>DEGREES(coord!$B$18/(6378*TAN(RADIANS(I14))))</f>
        <v>4.8751728890584882</v>
      </c>
      <c r="M14">
        <f>lat(coord!$B$2,coord!$C$2,coord!$D$2)</f>
        <v>45.411171275371856</v>
      </c>
      <c r="N14">
        <f>lon(coord!$B$2,coord!$C$2,coord!$D$2)</f>
        <v>11.896106531717408</v>
      </c>
      <c r="O14" s="7">
        <f t="shared" si="4"/>
        <v>43.304156026445085</v>
      </c>
      <c r="P14">
        <f t="shared" si="5"/>
        <v>0.10715956910789189</v>
      </c>
      <c r="Q14">
        <f t="shared" si="6"/>
        <v>0.99424183514304565</v>
      </c>
      <c r="R14" s="7">
        <f t="shared" si="7"/>
        <v>18.047709429369164</v>
      </c>
    </row>
    <row r="15" spans="1:18">
      <c r="A15">
        <f>tetto_ionofree_PR!A15</f>
        <v>2</v>
      </c>
      <c r="B15">
        <f>tetto_ionofree_PR!B15</f>
        <v>0.26666666666666666</v>
      </c>
      <c r="C15">
        <f>tetto_ionofree_PR!C15</f>
        <v>13</v>
      </c>
      <c r="D15">
        <f>tetto_ionofree_PR!D15</f>
        <v>20068184.097767286</v>
      </c>
      <c r="E15">
        <f>tetto!$D15</f>
        <v>20068181.300000001</v>
      </c>
      <c r="F15">
        <f>tetto!$G15</f>
        <v>20068179.489999998</v>
      </c>
      <c r="G15">
        <f>tetto_ionofree_PR!$E15</f>
        <v>80.060323118592805</v>
      </c>
      <c r="H15">
        <f>tetto_ionofree_PR!$L15</f>
        <v>6.5119571103859926</v>
      </c>
      <c r="I15">
        <f>DEGREES(ACOS(6378*COS(RADIANS(G15))/(6378+coord!B$18)))</f>
        <v>80.65233852443734</v>
      </c>
      <c r="J15" s="7">
        <f>-(10^-16)*(E15-$D15)*(coord!$B$10*10^6)^2*SIN(RADIANS($I15))/40.3</f>
        <v>17.001748890356467</v>
      </c>
      <c r="K15">
        <f>-(10^-16)*(F15-$D15)*(coord!$B$11*10^6)^2*SIN(RADIANS($I15))/40.3</f>
        <v>17.001748891605022</v>
      </c>
      <c r="L15">
        <f>DEGREES(coord!$B$18/(6378*TAN(RADIANS(I15))))</f>
        <v>0.59150140909479976</v>
      </c>
      <c r="M15">
        <f>lat(coord!$B$2,coord!$C$2,coord!$D$2)</f>
        <v>45.411171275371856</v>
      </c>
      <c r="N15">
        <f>lon(coord!$B$2,coord!$C$2,coord!$D$2)</f>
        <v>11.896106531717408</v>
      </c>
      <c r="O15" s="7">
        <f t="shared" si="4"/>
        <v>45.998816047177002</v>
      </c>
      <c r="P15">
        <f t="shared" si="5"/>
        <v>1.6853820665589097E-3</v>
      </c>
      <c r="Q15">
        <f t="shared" si="6"/>
        <v>0.9999985797426364</v>
      </c>
      <c r="R15" s="7">
        <f t="shared" si="7"/>
        <v>11.992671856714145</v>
      </c>
    </row>
    <row r="16" spans="1:18">
      <c r="A16">
        <f>tetto_ionofree_PR!A16</f>
        <v>2</v>
      </c>
      <c r="B16">
        <f>tetto_ionofree_PR!B16</f>
        <v>0.26666666666666666</v>
      </c>
      <c r="C16">
        <f>tetto_ionofree_PR!C16</f>
        <v>7</v>
      </c>
      <c r="D16">
        <f>tetto_ionofree_PR!D16</f>
        <v>22205609.2078261</v>
      </c>
      <c r="E16">
        <f>tetto!$D16</f>
        <v>22205609.162999999</v>
      </c>
      <c r="F16">
        <f>tetto!$G16</f>
        <v>22205609.134</v>
      </c>
      <c r="G16">
        <f>tetto_ionofree_PR!$E16</f>
        <v>38.672329594162491</v>
      </c>
      <c r="H16">
        <f>tetto_ionofree_PR!$L16</f>
        <v>177.13731488344735</v>
      </c>
      <c r="I16">
        <f>DEGREES(ACOS(6378*COS(RADIANS(G16))/(6378+coord!B$18)))</f>
        <v>42.72169325074708</v>
      </c>
      <c r="J16" s="7">
        <f>-(10^-16)*(E16-$D16)*(coord!$B$10*10^6)^2*SIN(RADIANS($I16))/40.3</f>
        <v>0.18729609277039713</v>
      </c>
      <c r="K16">
        <f>-(10^-16)*(F16-$D16)*(coord!$B$11*10^6)^2*SIN(RADIANS($I16))/40.3</f>
        <v>0.18729609740402473</v>
      </c>
      <c r="L16">
        <f>DEGREES(coord!$B$18/(6378*TAN(RADIANS(I16))))</f>
        <v>3.8911063938432635</v>
      </c>
      <c r="M16">
        <f>lat(coord!$B$2,coord!$C$2,coord!$D$2)</f>
        <v>45.411171275371856</v>
      </c>
      <c r="N16">
        <f>lon(coord!$B$2,coord!$C$2,coord!$D$2)</f>
        <v>11.896106531717408</v>
      </c>
      <c r="O16" s="7">
        <f t="shared" si="4"/>
        <v>41.52461434731174</v>
      </c>
      <c r="P16">
        <f t="shared" si="5"/>
        <v>4.5268470701239263E-3</v>
      </c>
      <c r="Q16">
        <f t="shared" si="6"/>
        <v>0.99998975377530941</v>
      </c>
      <c r="R16" s="7">
        <f t="shared" si="7"/>
        <v>12.15547664919211</v>
      </c>
    </row>
    <row r="18" spans="1:18">
      <c r="A18">
        <f>tetto_ionofree_PR!A18</f>
        <v>4</v>
      </c>
      <c r="B18">
        <f>tetto_ionofree_PR!B18</f>
        <v>0.28333333333333333</v>
      </c>
      <c r="C18">
        <f>tetto_ionofree_PR!C18</f>
        <v>2</v>
      </c>
      <c r="D18">
        <f>tetto_ionofree_PR!D18</f>
        <v>22873725.72071404</v>
      </c>
      <c r="E18">
        <f>tetto!$D18</f>
        <v>22873721.166999999</v>
      </c>
      <c r="F18">
        <f>tetto!$G18</f>
        <v>22873718.221000001</v>
      </c>
      <c r="G18">
        <f>tetto_ionofree_PR!$E18</f>
        <v>27.55933792950659</v>
      </c>
      <c r="H18">
        <f>tetto_ionofree_PR!$L18</f>
        <v>-50.248119887654042</v>
      </c>
      <c r="I18">
        <f>DEGREES(ACOS(6378*COS(RADIANS(G18))/(6378+coord!B$18)))</f>
        <v>33.465923621754683</v>
      </c>
      <c r="J18" s="7">
        <f>-(10^-16)*(E18-$D18)*(coord!$B$10*10^6)^2*SIN(RADIANS($I18))/40.3</f>
        <v>15.465088947238502</v>
      </c>
      <c r="K18">
        <f>-(10^-16)*(F18-$D18)*(coord!$B$11*10^6)^2*SIN(RADIANS($I18))/40.3</f>
        <v>15.465088943941691</v>
      </c>
      <c r="L18">
        <f>DEGREES(coord!$B$18/(6378*TAN(RADIANS(I18))))</f>
        <v>5.4359636659126451</v>
      </c>
      <c r="M18">
        <f>lat(coord!$B$2,coord!$C$2,coord!$D$2)</f>
        <v>45.411171275371856</v>
      </c>
      <c r="N18">
        <f>lon(coord!$B$2,coord!$C$2,coord!$D$2)</f>
        <v>11.896106531717408</v>
      </c>
      <c r="O18" s="7">
        <f t="shared" si="4"/>
        <v>48.719358354809508</v>
      </c>
      <c r="P18">
        <f t="shared" si="5"/>
        <v>-0.1103949931840838</v>
      </c>
      <c r="Q18">
        <f t="shared" si="6"/>
        <v>0.99388779320398435</v>
      </c>
      <c r="R18" s="7">
        <f t="shared" si="7"/>
        <v>5.558020843193396</v>
      </c>
    </row>
    <row r="19" spans="1:18">
      <c r="A19">
        <f>tetto_ionofree_PR!A19</f>
        <v>4</v>
      </c>
      <c r="B19">
        <f>tetto_ionofree_PR!B19</f>
        <v>0.28333333333333333</v>
      </c>
      <c r="C19">
        <f>tetto_ionofree_PR!C19</f>
        <v>23</v>
      </c>
      <c r="D19">
        <f>tetto_ionofree_PR!D19</f>
        <v>20893006.259638038</v>
      </c>
      <c r="E19">
        <f>tetto!$D19</f>
        <v>20893000.592999998</v>
      </c>
      <c r="F19">
        <f>tetto!$G19</f>
        <v>20892996.927000001</v>
      </c>
      <c r="G19">
        <f>tetto_ionofree_PR!$E19</f>
        <v>55.916507568354952</v>
      </c>
      <c r="H19">
        <f>tetto_ionofree_PR!$L19</f>
        <v>54.087343529110136</v>
      </c>
      <c r="I19">
        <f>DEGREES(ACOS(6378*COS(RADIANS(G19))/(6378+coord!B$18)))</f>
        <v>58.174859019400792</v>
      </c>
      <c r="J19" s="7">
        <f>-(10^-16)*(E19-$D19)*(coord!$B$10*10^6)^2*SIN(RADIANS($I19))/40.3</f>
        <v>29.652343165823389</v>
      </c>
      <c r="K19">
        <f>-(10^-16)*(F19-$D19)*(coord!$B$11*10^6)^2*SIN(RADIANS($I19))/40.3</f>
        <v>29.652343163804652</v>
      </c>
      <c r="L19">
        <f>DEGREES(coord!$B$18/(6378*TAN(RADIANS(I19))))</f>
        <v>2.2301476242454767</v>
      </c>
      <c r="M19">
        <f>lat(coord!$B$2,coord!$C$2,coord!$D$2)</f>
        <v>45.411171275371856</v>
      </c>
      <c r="N19">
        <f>lon(coord!$B$2,coord!$C$2,coord!$D$2)</f>
        <v>11.896106531717408</v>
      </c>
      <c r="O19" s="7">
        <f t="shared" si="4"/>
        <v>46.689484234420227</v>
      </c>
      <c r="P19">
        <f t="shared" si="5"/>
        <v>4.5945768944914582E-2</v>
      </c>
      <c r="Q19">
        <f t="shared" si="6"/>
        <v>0.9989439355219395</v>
      </c>
      <c r="R19" s="7">
        <f t="shared" si="7"/>
        <v>14.529532266485074</v>
      </c>
    </row>
    <row r="20" spans="1:18">
      <c r="A20">
        <f>tetto_ionofree_PR!A20</f>
        <v>4</v>
      </c>
      <c r="B20">
        <f>tetto_ionofree_PR!B20</f>
        <v>0.28333333333333333</v>
      </c>
      <c r="C20">
        <f>tetto_ionofree_PR!C20</f>
        <v>10</v>
      </c>
      <c r="D20">
        <f>tetto_ionofree_PR!D20</f>
        <v>23276696.057741098</v>
      </c>
      <c r="E20">
        <f>tetto!$D20</f>
        <v>23276694.951000001</v>
      </c>
      <c r="F20">
        <f>tetto!$G20</f>
        <v>23276694.234999999</v>
      </c>
      <c r="G20">
        <f>tetto_ionofree_PR!$E20</f>
        <v>22.078139604485628</v>
      </c>
      <c r="H20">
        <f>tetto_ionofree_PR!$L20</f>
        <v>-62.058924871844454</v>
      </c>
      <c r="I20">
        <f>DEGREES(ACOS(6378*COS(RADIANS(G20))/(6378+coord!B$18)))</f>
        <v>29.30985860492526</v>
      </c>
      <c r="J20" s="7">
        <f>-(10^-16)*(E20-$D20)*(coord!$B$10*10^6)^2*SIN(RADIANS($I20))/40.3</f>
        <v>3.3366851407875568</v>
      </c>
      <c r="K20">
        <f>-(10^-16)*(F20-$D20)*(coord!$B$11*10^6)^2*SIN(RADIANS($I20))/40.3</f>
        <v>3.3366851368493151</v>
      </c>
      <c r="L20">
        <f>DEGREES(coord!$B$18/(6378*TAN(RADIANS(I20))))</f>
        <v>6.4006727367249523</v>
      </c>
      <c r="M20">
        <f>lat(coord!$B$2,coord!$C$2,coord!$D$2)</f>
        <v>45.411171275371856</v>
      </c>
      <c r="N20">
        <f>lon(coord!$B$2,coord!$C$2,coord!$D$2)</f>
        <v>11.896106531717408</v>
      </c>
      <c r="O20" s="7">
        <f t="shared" si="4"/>
        <v>48.107071019659926</v>
      </c>
      <c r="P20">
        <f t="shared" si="5"/>
        <v>-0.14749033853971588</v>
      </c>
      <c r="Q20">
        <f t="shared" si="6"/>
        <v>0.98906349646392278</v>
      </c>
      <c r="R20" s="7">
        <f t="shared" si="7"/>
        <v>3.4145906360177847</v>
      </c>
    </row>
    <row r="21" spans="1:18">
      <c r="A21">
        <f>tetto_ionofree_PR!A21</f>
        <v>4</v>
      </c>
      <c r="B21">
        <f>tetto_ionofree_PR!B21</f>
        <v>0.28333333333333333</v>
      </c>
      <c r="C21">
        <f>tetto_ionofree_PR!C21</f>
        <v>4</v>
      </c>
      <c r="D21">
        <f>tetto_ionofree_PR!D21</f>
        <v>21064692.151680984</v>
      </c>
      <c r="E21">
        <f>tetto!$D21</f>
        <v>21064691.385000002</v>
      </c>
      <c r="F21">
        <f>tetto!$G21</f>
        <v>21064690.888999999</v>
      </c>
      <c r="G21">
        <f>tetto_ionofree_PR!$E21</f>
        <v>55.92340705618814</v>
      </c>
      <c r="H21">
        <f>tetto_ionofree_PR!$L21</f>
        <v>256.30131968410547</v>
      </c>
      <c r="I21">
        <f>DEGREES(ACOS(6378*COS(RADIANS(G21))/(6378+coord!B$18)))</f>
        <v>58.181187557516125</v>
      </c>
      <c r="J21" s="7">
        <f>-(10^-16)*(E21-$D21)*(coord!$B$10*10^6)^2*SIN(RADIANS($I21))/40.3</f>
        <v>4.0121577768249219</v>
      </c>
      <c r="K21">
        <f>-(10^-16)*(F21-$D21)*(coord!$B$11*10^6)^2*SIN(RADIANS($I21))/40.3</f>
        <v>4.0121577804056381</v>
      </c>
      <c r="L21">
        <f>DEGREES(coord!$B$18/(6378*TAN(RADIANS(I21))))</f>
        <v>2.2295978842381832</v>
      </c>
      <c r="M21">
        <f>lat(coord!$B$2,coord!$C$2,coord!$D$2)</f>
        <v>45.411171275371856</v>
      </c>
      <c r="N21">
        <f>lon(coord!$B$2,coord!$C$2,coord!$D$2)</f>
        <v>11.896106531717408</v>
      </c>
      <c r="O21" s="7">
        <f t="shared" si="4"/>
        <v>44.842154888771134</v>
      </c>
      <c r="P21">
        <f t="shared" si="5"/>
        <v>-5.3306889493127667E-2</v>
      </c>
      <c r="Q21">
        <f t="shared" si="6"/>
        <v>0.9985781769759281</v>
      </c>
      <c r="R21" s="7">
        <f t="shared" si="7"/>
        <v>8.8403983820690755</v>
      </c>
    </row>
    <row r="22" spans="1:18">
      <c r="A22">
        <f>tetto_ionofree_PR!A22</f>
        <v>4</v>
      </c>
      <c r="B22">
        <f>tetto_ionofree_PR!B22</f>
        <v>0.28333333333333333</v>
      </c>
      <c r="C22">
        <f>tetto_ionofree_PR!C22</f>
        <v>20</v>
      </c>
      <c r="D22">
        <f>tetto_ionofree_PR!D22</f>
        <v>22701499.525765136</v>
      </c>
      <c r="E22">
        <f>tetto!$D22</f>
        <v>22701498.283</v>
      </c>
      <c r="F22">
        <f>tetto!$G22</f>
        <v>22701497.478999998</v>
      </c>
      <c r="G22">
        <f>tetto_ionofree_PR!$E22</f>
        <v>30.803127000236117</v>
      </c>
      <c r="H22">
        <f>tetto_ionofree_PR!$L22</f>
        <v>113.71581648899179</v>
      </c>
      <c r="I22">
        <f>DEGREES(ACOS(6378*COS(RADIANS(G22))/(6378+coord!B$18)))</f>
        <v>36.075422890506019</v>
      </c>
      <c r="J22" s="7">
        <f>-(10^-16)*(E22-$D22)*(coord!$B$10*10^6)^2*SIN(RADIANS($I22))/40.3</f>
        <v>4.5069339473770844</v>
      </c>
      <c r="K22">
        <f>-(10^-16)*(F22-$D22)*(coord!$B$11*10^6)^2*SIN(RADIANS($I22))/40.3</f>
        <v>4.5069339493047931</v>
      </c>
      <c r="L22">
        <f>DEGREES(coord!$B$18/(6378*TAN(RADIANS(I22))))</f>
        <v>4.9321394587871135</v>
      </c>
      <c r="M22">
        <f>lat(coord!$B$2,coord!$C$2,coord!$D$2)</f>
        <v>45.411171275371856</v>
      </c>
      <c r="N22">
        <f>lon(coord!$B$2,coord!$C$2,coord!$D$2)</f>
        <v>11.896106531717408</v>
      </c>
      <c r="O22" s="7">
        <f t="shared" si="4"/>
        <v>43.255322360896997</v>
      </c>
      <c r="P22">
        <f t="shared" si="5"/>
        <v>0.10807976031324362</v>
      </c>
      <c r="Q22">
        <f t="shared" si="6"/>
        <v>0.99414222594688728</v>
      </c>
      <c r="R22" s="7">
        <f t="shared" si="7"/>
        <v>18.100740500860393</v>
      </c>
    </row>
    <row r="23" spans="1:18">
      <c r="A23">
        <f>tetto_ionofree_PR!A23</f>
        <v>4</v>
      </c>
      <c r="B23">
        <f>tetto_ionofree_PR!B23</f>
        <v>0.28333333333333333</v>
      </c>
      <c r="C23">
        <f>tetto_ionofree_PR!C23</f>
        <v>13</v>
      </c>
      <c r="D23">
        <f>tetto_ionofree_PR!D23</f>
        <v>20072791.388962217</v>
      </c>
      <c r="E23">
        <f>tetto!$D23</f>
        <v>20072788.517000001</v>
      </c>
      <c r="F23">
        <f>tetto!$G23</f>
        <v>20072786.659000002</v>
      </c>
      <c r="G23">
        <f>tetto_ionofree_PR!$E23</f>
        <v>79.719636445494615</v>
      </c>
      <c r="H23">
        <f>tetto_ionofree_PR!$L23</f>
        <v>8.5238810307523494</v>
      </c>
      <c r="I23">
        <f>DEGREES(ACOS(6378*COS(RADIANS(G23))/(6378+coord!B$18)))</f>
        <v>80.332339513461861</v>
      </c>
      <c r="J23" s="7">
        <f>-(10^-16)*(E23-$D23)*(coord!$B$10*10^6)^2*SIN(RADIANS($I23))/40.3</f>
        <v>17.43630669485556</v>
      </c>
      <c r="K23">
        <f>-(10^-16)*(F23-$D23)*(coord!$B$11*10^6)^2*SIN(RADIANS($I23))/40.3</f>
        <v>17.436306690953177</v>
      </c>
      <c r="L23">
        <f>DEGREES(coord!$B$18/(6378*TAN(RADIANS(I23))))</f>
        <v>0.61213331712319774</v>
      </c>
      <c r="M23">
        <f>lat(coord!$B$2,coord!$C$2,coord!$D$2)</f>
        <v>45.411171275371856</v>
      </c>
      <c r="N23">
        <f>lon(coord!$B$2,coord!$C$2,coord!$D$2)</f>
        <v>11.896106531717408</v>
      </c>
      <c r="O23" s="7">
        <f t="shared" si="4"/>
        <v>46.016469146002727</v>
      </c>
      <c r="P23">
        <f t="shared" si="5"/>
        <v>2.2802618446324243E-3</v>
      </c>
      <c r="Q23">
        <f t="shared" si="6"/>
        <v>0.99999740019958039</v>
      </c>
      <c r="R23" s="7">
        <f t="shared" si="7"/>
        <v>12.02675602482045</v>
      </c>
    </row>
    <row r="24" spans="1:18">
      <c r="A24">
        <f>tetto_ionofree_PR!A24</f>
        <v>4</v>
      </c>
      <c r="B24">
        <f>tetto_ionofree_PR!B24</f>
        <v>0.28333333333333333</v>
      </c>
      <c r="C24">
        <f>tetto_ionofree_PR!C24</f>
        <v>7</v>
      </c>
      <c r="D24">
        <f>tetto_ionofree_PR!D24</f>
        <v>22170063.183114216</v>
      </c>
      <c r="E24">
        <f>tetto!$D24</f>
        <v>22170062.537</v>
      </c>
      <c r="F24">
        <f>tetto!$G24</f>
        <v>22170062.118999999</v>
      </c>
      <c r="G24">
        <f>tetto_ionofree_PR!$E24</f>
        <v>39.15517337575929</v>
      </c>
      <c r="H24">
        <f>tetto_ionofree_PR!$L24</f>
        <v>177.06521864464185</v>
      </c>
      <c r="I24">
        <f>DEGREES(ACOS(6378*COS(RADIANS(G24))/(6378+coord!B$18)))</f>
        <v>43.140707789970463</v>
      </c>
      <c r="J24" s="7">
        <f>-(10^-16)*(E24-$D24)*(coord!$B$10*10^6)^2*SIN(RADIANS($I24))/40.3</f>
        <v>2.7209540635406646</v>
      </c>
      <c r="K24">
        <f>-(10^-16)*(F24-$D24)*(coord!$B$11*10^6)^2*SIN(RADIANS($I24))/40.3</f>
        <v>2.7209540620694863</v>
      </c>
      <c r="L24">
        <f>DEGREES(coord!$B$18/(6378*TAN(RADIANS(I24))))</f>
        <v>3.8344607701733038</v>
      </c>
      <c r="M24">
        <f>lat(coord!$B$2,coord!$C$2,coord!$D$2)</f>
        <v>45.411171275371856</v>
      </c>
      <c r="N24">
        <f>lon(coord!$B$2,coord!$C$2,coord!$D$2)</f>
        <v>11.896106531717408</v>
      </c>
      <c r="O24" s="7">
        <f t="shared" si="4"/>
        <v>41.581426595275374</v>
      </c>
      <c r="P24">
        <f t="shared" si="5"/>
        <v>4.5773204919719373E-3</v>
      </c>
      <c r="Q24">
        <f t="shared" si="6"/>
        <v>0.99998952401368357</v>
      </c>
      <c r="R24" s="7">
        <f t="shared" si="7"/>
        <v>12.158368593204708</v>
      </c>
    </row>
    <row r="26" spans="1:18">
      <c r="A26">
        <f>tetto_ionofree_PR!A26</f>
        <v>6</v>
      </c>
      <c r="B26">
        <f>tetto_ionofree_PR!B26</f>
        <v>0.3</v>
      </c>
      <c r="C26">
        <f>tetto_ionofree_PR!C26</f>
        <v>2</v>
      </c>
      <c r="D26">
        <f>tetto_ionofree_PR!D26</f>
        <v>22844731.962069556</v>
      </c>
      <c r="E26">
        <f>tetto!$D26</f>
        <v>22844726.940000001</v>
      </c>
      <c r="F26">
        <f>tetto!$G26</f>
        <v>22844723.691</v>
      </c>
      <c r="G26">
        <f>tetto_ionofree_PR!$E26</f>
        <v>27.866598532532372</v>
      </c>
      <c r="H26">
        <f>tetto_ionofree_PR!$L26</f>
        <v>-50.547537589936894</v>
      </c>
      <c r="I26">
        <f>DEGREES(ACOS(6378*COS(RADIANS(G26))/(6378+coord!B$18)))</f>
        <v>33.708972112941694</v>
      </c>
      <c r="J26" s="7">
        <f>-(10^-16)*(E26-$D26)*(coord!$B$10*10^6)^2*SIN(RADIANS($I26))/40.3</f>
        <v>17.164990619009682</v>
      </c>
      <c r="K26">
        <f>-(10^-16)*(F26-$D26)*(coord!$B$11*10^6)^2*SIN(RADIANS($I26))/40.3</f>
        <v>17.164990626528187</v>
      </c>
      <c r="L26">
        <f>DEGREES(coord!$B$18/(6378*TAN(RADIANS(I26))))</f>
        <v>5.3861561462918814</v>
      </c>
      <c r="M26">
        <f>lat(coord!$B$2,coord!$C$2,coord!$D$2)</f>
        <v>45.411171275371856</v>
      </c>
      <c r="N26">
        <f>lon(coord!$B$2,coord!$C$2,coord!$D$2)</f>
        <v>11.896106531717408</v>
      </c>
      <c r="O26" s="7">
        <f t="shared" si="4"/>
        <v>48.667672954544379</v>
      </c>
      <c r="P26">
        <f t="shared" si="5"/>
        <v>-0.10974772054772014</v>
      </c>
      <c r="Q26">
        <f t="shared" si="6"/>
        <v>0.99395947494582448</v>
      </c>
      <c r="R26" s="7">
        <f t="shared" si="7"/>
        <v>5.5953335578485612</v>
      </c>
    </row>
    <row r="27" spans="1:18">
      <c r="A27">
        <f>tetto_ionofree_PR!A27</f>
        <v>6</v>
      </c>
      <c r="B27">
        <f>tetto_ionofree_PR!B27</f>
        <v>0.3</v>
      </c>
      <c r="C27">
        <f>tetto_ionofree_PR!C27</f>
        <v>23</v>
      </c>
      <c r="D27">
        <f>tetto_ionofree_PR!D27</f>
        <v>20913127.624949764</v>
      </c>
      <c r="E27">
        <f>tetto!$D27</f>
        <v>20913122.252</v>
      </c>
      <c r="F27">
        <f>tetto!$G27</f>
        <v>20913118.776000001</v>
      </c>
      <c r="G27">
        <f>tetto_ionofree_PR!$E27</f>
        <v>55.484471689928185</v>
      </c>
      <c r="H27">
        <f>tetto_ionofree_PR!$L27</f>
        <v>54.328238619295639</v>
      </c>
      <c r="I27">
        <f>DEGREES(ACOS(6378*COS(RADIANS(G27))/(6378+coord!B$18)))</f>
        <v>57.778739436797963</v>
      </c>
      <c r="J27" s="7">
        <f>-(10^-16)*(E27-$D27)*(coord!$B$10*10^6)^2*SIN(RADIANS($I27))/40.3</f>
        <v>27.994223903773158</v>
      </c>
      <c r="K27">
        <f>-(10^-16)*(F27-$D27)*(coord!$B$11*10^6)^2*SIN(RADIANS($I27))/40.3</f>
        <v>27.994223902529164</v>
      </c>
      <c r="L27">
        <f>DEGREES(coord!$B$18/(6378*TAN(RADIANS(I27))))</f>
        <v>2.2647084777072166</v>
      </c>
      <c r="M27">
        <f>lat(coord!$B$2,coord!$C$2,coord!$D$2)</f>
        <v>45.411171275371856</v>
      </c>
      <c r="N27">
        <f>lon(coord!$B$2,coord!$C$2,coord!$D$2)</f>
        <v>11.896106531717408</v>
      </c>
      <c r="O27" s="7">
        <f t="shared" si="4"/>
        <v>46.700906480322324</v>
      </c>
      <c r="P27">
        <f t="shared" si="5"/>
        <v>4.6808982088672423E-2</v>
      </c>
      <c r="Q27">
        <f t="shared" si="6"/>
        <v>0.99890385883518451</v>
      </c>
      <c r="R27" s="7">
        <f t="shared" si="7"/>
        <v>14.579044013095107</v>
      </c>
    </row>
    <row r="28" spans="1:18">
      <c r="A28">
        <f>tetto_ionofree_PR!A28</f>
        <v>6</v>
      </c>
      <c r="B28">
        <f>tetto_ionofree_PR!B28</f>
        <v>0.3</v>
      </c>
      <c r="C28">
        <f>tetto_ionofree_PR!C28</f>
        <v>10</v>
      </c>
      <c r="D28">
        <f>tetto_ionofree_PR!D28</f>
        <v>23241165.933839835</v>
      </c>
      <c r="E28">
        <f>tetto!$D28</f>
        <v>23241165.296999998</v>
      </c>
      <c r="F28">
        <f>tetto!$G28</f>
        <v>23241164.885000002</v>
      </c>
      <c r="G28">
        <f>tetto_ionofree_PR!$E28</f>
        <v>22.466761189562035</v>
      </c>
      <c r="H28">
        <f>tetto_ionofree_PR!$L28</f>
        <v>-61.875617717673606</v>
      </c>
      <c r="I28">
        <f>DEGREES(ACOS(6378*COS(RADIANS(G28))/(6378+coord!B$18)))</f>
        <v>29.591750441082851</v>
      </c>
      <c r="J28" s="7">
        <f>-(10^-16)*(E28-$D28)*(coord!$B$10*10^6)^2*SIN(RADIANS($I28))/40.3</f>
        <v>1.9367948952522878</v>
      </c>
      <c r="K28">
        <f>-(10^-16)*(F28-$D28)*(coord!$B$11*10^6)^2*SIN(RADIANS($I28))/40.3</f>
        <v>1.9367948995173585</v>
      </c>
      <c r="L28">
        <f>DEGREES(coord!$B$18/(6378*TAN(RADIANS(I28))))</f>
        <v>6.3275404843947367</v>
      </c>
      <c r="M28">
        <f>lat(coord!$B$2,coord!$C$2,coord!$D$2)</f>
        <v>45.411171275371856</v>
      </c>
      <c r="N28">
        <f>lon(coord!$B$2,coord!$C$2,coord!$D$2)</f>
        <v>11.896106531717408</v>
      </c>
      <c r="O28" s="7">
        <f t="shared" si="4"/>
        <v>48.098661277624771</v>
      </c>
      <c r="P28">
        <f t="shared" si="5"/>
        <v>-0.14554006747075393</v>
      </c>
      <c r="Q28">
        <f t="shared" si="6"/>
        <v>0.98935235824280943</v>
      </c>
      <c r="R28" s="7">
        <f t="shared" si="7"/>
        <v>3.5275519880984945</v>
      </c>
    </row>
    <row r="29" spans="1:18">
      <c r="A29">
        <f>tetto_ionofree_PR!A29</f>
        <v>6</v>
      </c>
      <c r="B29">
        <f>tetto_ionofree_PR!B29</f>
        <v>0.3</v>
      </c>
      <c r="C29">
        <f>tetto_ionofree_PR!C29</f>
        <v>4</v>
      </c>
      <c r="D29">
        <f>tetto_ionofree_PR!D29</f>
        <v>21071523.347000428</v>
      </c>
      <c r="E29">
        <f>tetto!$D29</f>
        <v>21071522.316</v>
      </c>
      <c r="F29">
        <f>tetto!$G29</f>
        <v>21071521.649</v>
      </c>
      <c r="G29">
        <f>tetto_ionofree_PR!$E29</f>
        <v>55.828398834445686</v>
      </c>
      <c r="H29">
        <f>tetto_ionofree_PR!$L29</f>
        <v>255.46286129177102</v>
      </c>
      <c r="I29">
        <f>DEGREES(ACOS(6378*COS(RADIANS(G29))/(6378+coord!B$18)))</f>
        <v>58.094048706126067</v>
      </c>
      <c r="J29" s="7">
        <f>-(10^-16)*(E29-$D29)*(coord!$B$10*10^6)^2*SIN(RADIANS($I29))/40.3</f>
        <v>5.3902838296822591</v>
      </c>
      <c r="K29">
        <f>-(10^-16)*(F29-$D29)*(coord!$B$11*10^6)^2*SIN(RADIANS($I29))/40.3</f>
        <v>5.3902838308976984</v>
      </c>
      <c r="L29">
        <f>DEGREES(coord!$B$18/(6378*TAN(RADIANS(I29))))</f>
        <v>2.2371739958625505</v>
      </c>
      <c r="M29">
        <f>lat(coord!$B$2,coord!$C$2,coord!$D$2)</f>
        <v>45.411171275371856</v>
      </c>
      <c r="N29">
        <f>lon(coord!$B$2,coord!$C$2,coord!$D$2)</f>
        <v>11.896106531717408</v>
      </c>
      <c r="O29" s="7">
        <f t="shared" si="4"/>
        <v>44.808666854493708</v>
      </c>
      <c r="P29">
        <f t="shared" si="5"/>
        <v>-5.3260472164673167E-2</v>
      </c>
      <c r="Q29">
        <f t="shared" si="6"/>
        <v>0.99858065378055283</v>
      </c>
      <c r="R29" s="7">
        <f t="shared" si="7"/>
        <v>8.8430616825289885</v>
      </c>
    </row>
    <row r="30" spans="1:18">
      <c r="A30">
        <f>tetto_ionofree_PR!A30</f>
        <v>6</v>
      </c>
      <c r="B30">
        <f>tetto_ionofree_PR!B30</f>
        <v>0.3</v>
      </c>
      <c r="C30">
        <f>tetto_ionofree_PR!C30</f>
        <v>20</v>
      </c>
      <c r="D30">
        <f>tetto_ionofree_PR!D30</f>
        <v>22734899.849693432</v>
      </c>
      <c r="E30">
        <f>tetto!$D30</f>
        <v>22734897.984000001</v>
      </c>
      <c r="F30">
        <f>tetto!$G30</f>
        <v>22734896.776999999</v>
      </c>
      <c r="G30">
        <f>tetto_ionofree_PR!$E30</f>
        <v>30.416197317897257</v>
      </c>
      <c r="H30">
        <f>tetto_ionofree_PR!$L30</f>
        <v>114.00763628723607</v>
      </c>
      <c r="I30">
        <f>DEGREES(ACOS(6378*COS(RADIANS(G30))/(6378+coord!B$18)))</f>
        <v>35.759387314748459</v>
      </c>
      <c r="J30" s="7">
        <f>-(10^-16)*(E30-$D30)*(coord!$B$10*10^6)^2*SIN(RADIANS($I30))/40.3</f>
        <v>6.7146787702572768</v>
      </c>
      <c r="K30">
        <f>-(10^-16)*(F30-$D30)*(coord!$B$11*10^6)^2*SIN(RADIANS($I30))/40.3</f>
        <v>6.7146787742304319</v>
      </c>
      <c r="L30">
        <f>DEGREES(coord!$B$18/(6378*TAN(RADIANS(I30))))</f>
        <v>4.9897374693566769</v>
      </c>
      <c r="M30">
        <f>lat(coord!$B$2,coord!$C$2,coord!$D$2)</f>
        <v>45.411171275371856</v>
      </c>
      <c r="N30">
        <f>lon(coord!$B$2,coord!$C$2,coord!$D$2)</f>
        <v>11.896106531717408</v>
      </c>
      <c r="O30" s="7">
        <f t="shared" si="4"/>
        <v>43.205851850239874</v>
      </c>
      <c r="P30">
        <f t="shared" si="5"/>
        <v>0.10900418408985887</v>
      </c>
      <c r="Q30">
        <f t="shared" si="6"/>
        <v>0.99404129081789361</v>
      </c>
      <c r="R30" s="7">
        <f t="shared" si="7"/>
        <v>18.15402087122677</v>
      </c>
    </row>
    <row r="31" spans="1:18">
      <c r="A31">
        <f>tetto_ionofree_PR!A31</f>
        <v>6</v>
      </c>
      <c r="B31">
        <f>tetto_ionofree_PR!B31</f>
        <v>0.3</v>
      </c>
      <c r="C31">
        <f>tetto_ionofree_PR!C31</f>
        <v>13</v>
      </c>
      <c r="D31">
        <f>tetto_ionofree_PR!D31</f>
        <v>20077711.546821386</v>
      </c>
      <c r="E31">
        <f>tetto!$D31</f>
        <v>20077708.443</v>
      </c>
      <c r="F31">
        <f>tetto!$G31</f>
        <v>20077706.434999999</v>
      </c>
      <c r="G31">
        <f>tetto_ionofree_PR!$E31</f>
        <v>79.370397650737956</v>
      </c>
      <c r="H31">
        <f>tetto_ionofree_PR!$L31</f>
        <v>10.419405574618196</v>
      </c>
      <c r="I31">
        <f>DEGREES(ACOS(6378*COS(RADIANS(G31))/(6378+coord!B$18)))</f>
        <v>80.004349929075232</v>
      </c>
      <c r="J31" s="7">
        <f>-(10^-16)*(E31-$D31)*(coord!$B$10*10^6)^2*SIN(RADIANS($I31))/40.3</f>
        <v>18.825289152949935</v>
      </c>
      <c r="K31">
        <f>-(10^-16)*(F31-$D31)*(coord!$B$11*10^6)^2*SIN(RADIANS($I31))/40.3</f>
        <v>18.825289150430951</v>
      </c>
      <c r="L31">
        <f>DEGREES(coord!$B$18/(6378*TAN(RADIANS(I31))))</f>
        <v>0.63332121011631259</v>
      </c>
      <c r="M31">
        <f>lat(coord!$B$2,coord!$C$2,coord!$D$2)</f>
        <v>45.411171275371856</v>
      </c>
      <c r="N31">
        <f>lon(coord!$B$2,coord!$C$2,coord!$D$2)</f>
        <v>11.896106531717408</v>
      </c>
      <c r="O31" s="7">
        <f t="shared" si="4"/>
        <v>46.033931334580025</v>
      </c>
      <c r="P31">
        <f t="shared" si="5"/>
        <v>2.8794644388852892E-3</v>
      </c>
      <c r="Q31">
        <f t="shared" si="6"/>
        <v>0.99999585433367943</v>
      </c>
      <c r="R31" s="7">
        <f t="shared" si="7"/>
        <v>12.06108791930953</v>
      </c>
    </row>
    <row r="32" spans="1:18">
      <c r="A32">
        <f>tetto_ionofree_PR!A32</f>
        <v>6</v>
      </c>
      <c r="B32">
        <f>tetto_ionofree_PR!B32</f>
        <v>0.3</v>
      </c>
      <c r="C32">
        <f>tetto_ionofree_PR!C32</f>
        <v>7</v>
      </c>
      <c r="D32">
        <f>tetto_ionofree_PR!D32</f>
        <v>22134767.677164018</v>
      </c>
      <c r="E32">
        <f>tetto!$D32</f>
        <v>22134766.234999999</v>
      </c>
      <c r="F32">
        <f>tetto!$G32</f>
        <v>22134765.302000001</v>
      </c>
      <c r="G32">
        <f>tetto_ionofree_PR!$E32</f>
        <v>39.638695595155326</v>
      </c>
      <c r="H32">
        <f>tetto_ionofree_PR!$L32</f>
        <v>176.99139587147451</v>
      </c>
      <c r="I32">
        <f>DEGREES(ACOS(6378*COS(RADIANS(G32))/(6378+coord!B$18)))</f>
        <v>43.561377129951545</v>
      </c>
      <c r="J32" s="7">
        <f>-(10^-16)*(E32-$D32)*(coord!$B$10*10^6)^2*SIN(RADIANS($I32))/40.3</f>
        <v>6.120744454612014</v>
      </c>
      <c r="K32">
        <f>-(10^-16)*(F32-$D32)*(coord!$B$11*10^6)^2*SIN(RADIANS($I32))/40.3</f>
        <v>6.1207444505480186</v>
      </c>
      <c r="L32">
        <f>DEGREES(coord!$B$18/(6378*TAN(RADIANS(I32))))</f>
        <v>3.7784738916041918</v>
      </c>
      <c r="M32">
        <f>lat(coord!$B$2,coord!$C$2,coord!$D$2)</f>
        <v>45.411171275371856</v>
      </c>
      <c r="N32">
        <f>lon(coord!$B$2,coord!$C$2,coord!$D$2)</f>
        <v>11.896106531717408</v>
      </c>
      <c r="O32" s="7">
        <f t="shared" si="4"/>
        <v>41.637585649682769</v>
      </c>
      <c r="P32">
        <f t="shared" si="5"/>
        <v>4.627969947321558E-3</v>
      </c>
      <c r="Q32">
        <f t="shared" si="6"/>
        <v>0.99998929088974098</v>
      </c>
      <c r="R32" s="7">
        <f t="shared" si="7"/>
        <v>12.161270623970157</v>
      </c>
    </row>
    <row r="34" spans="1:18">
      <c r="A34">
        <f>tetto_ionofree_PR!A34</f>
        <v>8</v>
      </c>
      <c r="B34">
        <f>tetto_ionofree_PR!B34</f>
        <v>0.31666666666666665</v>
      </c>
      <c r="C34">
        <f>tetto_ionofree_PR!C34</f>
        <v>2</v>
      </c>
      <c r="D34">
        <f>tetto_ionofree_PR!D34</f>
        <v>22816066.453088447</v>
      </c>
      <c r="E34">
        <f>tetto!$D34</f>
        <v>22816062.866999999</v>
      </c>
      <c r="F34">
        <f>tetto!$G34</f>
        <v>22816060.546999998</v>
      </c>
      <c r="G34">
        <f>tetto_ionofree_PR!$E34</f>
        <v>28.171372907985166</v>
      </c>
      <c r="H34">
        <f>tetto_ionofree_PR!$L34</f>
        <v>-50.852548730426719</v>
      </c>
      <c r="I34">
        <f>DEGREES(ACOS(6378*COS(RADIANS(G34))/(6378+coord!B$18)))</f>
        <v>33.950961488288307</v>
      </c>
      <c r="J34" s="7">
        <f>-(10^-16)*(E34-$D34)*(coord!$B$10*10^6)^2*SIN(RADIANS($I34))/40.3</f>
        <v>12.3344198163056</v>
      </c>
      <c r="K34">
        <f>-(10^-16)*(F34-$D34)*(coord!$B$11*10^6)^2*SIN(RADIANS($I34))/40.3</f>
        <v>12.334419818570442</v>
      </c>
      <c r="L34">
        <f>DEGREES(coord!$B$18/(6378*TAN(RADIANS(I34))))</f>
        <v>5.3371909800296917</v>
      </c>
      <c r="M34">
        <f>lat(coord!$B$2,coord!$C$2,coord!$D$2)</f>
        <v>45.411171275371856</v>
      </c>
      <c r="N34">
        <f>lon(coord!$B$2,coord!$C$2,coord!$D$2)</f>
        <v>11.896106531717408</v>
      </c>
      <c r="O34" s="7">
        <f t="shared" si="4"/>
        <v>48.616366654981121</v>
      </c>
      <c r="P34">
        <f t="shared" si="5"/>
        <v>-0.10911675398892923</v>
      </c>
      <c r="Q34">
        <f t="shared" si="6"/>
        <v>0.99402894022202359</v>
      </c>
      <c r="R34" s="7">
        <f t="shared" si="7"/>
        <v>5.6317037090454765</v>
      </c>
    </row>
    <row r="35" spans="1:18">
      <c r="A35">
        <f>tetto_ionofree_PR!A35</f>
        <v>8</v>
      </c>
      <c r="B35">
        <f>tetto_ionofree_PR!B35</f>
        <v>0.31666666666666665</v>
      </c>
      <c r="C35">
        <f>tetto_ionofree_PR!C35</f>
        <v>23</v>
      </c>
      <c r="D35">
        <f>tetto_ionofree_PR!D35</f>
        <v>20933467.594210397</v>
      </c>
      <c r="E35">
        <f>tetto!$D35</f>
        <v>20933462.804000001</v>
      </c>
      <c r="F35">
        <f>tetto!$G35</f>
        <v>20933459.704999998</v>
      </c>
      <c r="G35">
        <f>tetto_ionofree_PR!$E35</f>
        <v>55.053405691088237</v>
      </c>
      <c r="H35">
        <f>tetto_ionofree_PR!$L35</f>
        <v>54.570030312490488</v>
      </c>
      <c r="I35">
        <f>DEGREES(ACOS(6378*COS(RADIANS(G35))/(6378+coord!B$18)))</f>
        <v>57.38383661590963</v>
      </c>
      <c r="J35" s="7">
        <f>-(10^-16)*(E35-$D35)*(coord!$B$10*10^6)^2*SIN(RADIANS($I35))/40.3</f>
        <v>24.849018843440142</v>
      </c>
      <c r="K35">
        <f>-(10^-16)*(F35-$D35)*(coord!$B$11*10^6)^2*SIN(RADIANS($I35))/40.3</f>
        <v>24.849018842631818</v>
      </c>
      <c r="L35">
        <f>DEGREES(coord!$B$18/(6378*TAN(RADIANS(I35))))</f>
        <v>2.2994642778777301</v>
      </c>
      <c r="M35">
        <f>lat(coord!$B$2,coord!$C$2,coord!$D$2)</f>
        <v>45.411171275371856</v>
      </c>
      <c r="N35">
        <f>lon(coord!$B$2,coord!$C$2,coord!$D$2)</f>
        <v>11.896106531717408</v>
      </c>
      <c r="O35" s="7">
        <f t="shared" si="4"/>
        <v>46.712121072643917</v>
      </c>
      <c r="P35">
        <f t="shared" si="5"/>
        <v>4.7680415677438005E-2</v>
      </c>
      <c r="Q35">
        <f t="shared" si="6"/>
        <v>0.99886264218901821</v>
      </c>
      <c r="R35" s="7">
        <f t="shared" si="7"/>
        <v>14.629029297731577</v>
      </c>
    </row>
    <row r="36" spans="1:18">
      <c r="A36">
        <f>tetto_ionofree_PR!A36</f>
        <v>8</v>
      </c>
      <c r="B36">
        <f>tetto_ionofree_PR!B36</f>
        <v>0.31666666666666665</v>
      </c>
      <c r="C36">
        <f>tetto_ionofree_PR!C36</f>
        <v>10</v>
      </c>
      <c r="D36">
        <f>tetto_ionofree_PR!D36</f>
        <v>23205724.421385564</v>
      </c>
      <c r="E36">
        <f>tetto!$D36</f>
        <v>23205723.783</v>
      </c>
      <c r="F36">
        <f>tetto!$G36</f>
        <v>23205723.370000001</v>
      </c>
      <c r="G36">
        <f>tetto_ionofree_PR!$E36</f>
        <v>22.8563834136867</v>
      </c>
      <c r="H36">
        <f>tetto_ionofree_PR!$L36</f>
        <v>-61.693866407522137</v>
      </c>
      <c r="I36">
        <f>DEGREES(ACOS(6378*COS(RADIANS(G36))/(6378+coord!B$18)))</f>
        <v>29.876556943963433</v>
      </c>
      <c r="J36" s="7">
        <f>-(10^-16)*(E36-$D36)*(coord!$B$10*10^6)^2*SIN(RADIANS($I36))/40.3</f>
        <v>1.9584659896070395</v>
      </c>
      <c r="K36">
        <f>-(10^-16)*(F36-$D36)*(coord!$B$11*10^6)^2*SIN(RADIANS($I36))/40.3</f>
        <v>1.9584659983196857</v>
      </c>
      <c r="L36">
        <f>DEGREES(coord!$B$18/(6378*TAN(RADIANS(I36))))</f>
        <v>6.254927793829955</v>
      </c>
      <c r="M36">
        <f>lat(coord!$B$2,coord!$C$2,coord!$D$2)</f>
        <v>45.411171275371856</v>
      </c>
      <c r="N36">
        <f>lon(coord!$B$2,coord!$C$2,coord!$D$2)</f>
        <v>11.896106531717408</v>
      </c>
      <c r="O36" s="7">
        <f t="shared" si="4"/>
        <v>48.089725984076708</v>
      </c>
      <c r="P36">
        <f t="shared" si="5"/>
        <v>-0.14360695341800336</v>
      </c>
      <c r="Q36">
        <f t="shared" si="6"/>
        <v>0.98963480280859117</v>
      </c>
      <c r="R36" s="7">
        <f t="shared" si="7"/>
        <v>3.6394872684195896</v>
      </c>
    </row>
    <row r="37" spans="1:18">
      <c r="A37">
        <f>tetto_ionofree_PR!A37</f>
        <v>8</v>
      </c>
      <c r="B37">
        <f>tetto_ionofree_PR!B37</f>
        <v>0.31666666666666665</v>
      </c>
      <c r="C37">
        <f>tetto_ionofree_PR!C37</f>
        <v>4</v>
      </c>
      <c r="D37">
        <f>tetto_ionofree_PR!D37</f>
        <v>21078799.499005154</v>
      </c>
      <c r="E37">
        <f>tetto!$D37</f>
        <v>21078797.927000001</v>
      </c>
      <c r="F37">
        <f>tetto!$G37</f>
        <v>21078796.91</v>
      </c>
      <c r="G37">
        <f>tetto_ionofree_PR!$E37</f>
        <v>55.724693943570195</v>
      </c>
      <c r="H37">
        <f>tetto_ionofree_PR!$L37</f>
        <v>254.62921522335</v>
      </c>
      <c r="I37">
        <f>DEGREES(ACOS(6378*COS(RADIANS(G37))/(6378+coord!B$18)))</f>
        <v>57.998951315034013</v>
      </c>
      <c r="J37" s="7">
        <f>-(10^-16)*(E37-$D37)*(coord!$B$10*10^6)^2*SIN(RADIANS($I37))/40.3</f>
        <v>8.2102644262750566</v>
      </c>
      <c r="K37">
        <f>-(10^-16)*(F37-$D37)*(coord!$B$11*10^6)^2*SIN(RADIANS($I37))/40.3</f>
        <v>8.210264428637787</v>
      </c>
      <c r="L37">
        <f>DEGREES(coord!$B$18/(6378*TAN(RADIANS(I37))))</f>
        <v>2.2454584374063731</v>
      </c>
      <c r="M37">
        <f>lat(coord!$B$2,coord!$C$2,coord!$D$2)</f>
        <v>45.411171275371856</v>
      </c>
      <c r="N37">
        <f>lon(coord!$B$2,coord!$C$2,coord!$D$2)</f>
        <v>11.896106531717408</v>
      </c>
      <c r="O37" s="7">
        <f t="shared" si="4"/>
        <v>44.775070422279562</v>
      </c>
      <c r="P37">
        <f t="shared" si="5"/>
        <v>-5.3219267870708596E-2</v>
      </c>
      <c r="Q37">
        <f t="shared" si="6"/>
        <v>0.99858285060745244</v>
      </c>
      <c r="R37" s="7">
        <f t="shared" si="7"/>
        <v>8.8454258676710307</v>
      </c>
    </row>
    <row r="38" spans="1:18">
      <c r="A38">
        <f>tetto_ionofree_PR!A38</f>
        <v>8</v>
      </c>
      <c r="B38">
        <f>tetto_ionofree_PR!B38</f>
        <v>0.31666666666666665</v>
      </c>
      <c r="C38">
        <f>tetto_ionofree_PR!C38</f>
        <v>20</v>
      </c>
      <c r="D38">
        <f>tetto_ionofree_PR!D38</f>
        <v>22768467.851894371</v>
      </c>
      <c r="E38">
        <f>tetto!$D38</f>
        <v>22768465.877999999</v>
      </c>
      <c r="F38">
        <f>tetto!$G38</f>
        <v>22768464.601</v>
      </c>
      <c r="G38">
        <f>tetto_ionofree_PR!$E38</f>
        <v>30.029428503815403</v>
      </c>
      <c r="H38">
        <f>tetto_ionofree_PR!$L38</f>
        <v>114.2976364844432</v>
      </c>
      <c r="I38">
        <f>DEGREES(ACOS(6378*COS(RADIANS(G38))/(6378+coord!B$18)))</f>
        <v>35.4446995008351</v>
      </c>
      <c r="J38" s="7">
        <f>-(10^-16)*(E38-$D38)*(coord!$B$10*10^6)^2*SIN(RADIANS($I38))/40.3</f>
        <v>7.049809028579169</v>
      </c>
      <c r="K38">
        <f>-(10^-16)*(F38-$D38)*(coord!$B$11*10^6)^2*SIN(RADIANS($I38))/40.3</f>
        <v>7.049809029826859</v>
      </c>
      <c r="L38">
        <f>DEGREES(coord!$B$18/(6378*TAN(RADIANS(I38))))</f>
        <v>5.0479732822787762</v>
      </c>
      <c r="M38">
        <f>lat(coord!$B$2,coord!$C$2,coord!$D$2)</f>
        <v>45.411171275371856</v>
      </c>
      <c r="N38">
        <f>lon(coord!$B$2,coord!$C$2,coord!$D$2)</f>
        <v>11.896106531717408</v>
      </c>
      <c r="O38" s="7">
        <f t="shared" si="4"/>
        <v>43.155737934717088</v>
      </c>
      <c r="P38">
        <f t="shared" si="5"/>
        <v>0.10993283847622612</v>
      </c>
      <c r="Q38">
        <f t="shared" si="6"/>
        <v>0.99393901775941962</v>
      </c>
      <c r="R38" s="7">
        <f t="shared" si="7"/>
        <v>18.207550549428642</v>
      </c>
    </row>
    <row r="39" spans="1:18">
      <c r="A39">
        <f>tetto_ionofree_PR!A39</f>
        <v>8</v>
      </c>
      <c r="B39">
        <f>tetto_ionofree_PR!B39</f>
        <v>0.31666666666666665</v>
      </c>
      <c r="C39">
        <f>tetto_ionofree_PR!C39</f>
        <v>13</v>
      </c>
      <c r="D39">
        <f>tetto_ionofree_PR!D39</f>
        <v>20082942.22771791</v>
      </c>
      <c r="E39">
        <f>tetto!$D39</f>
        <v>20082939.195</v>
      </c>
      <c r="F39">
        <f>tetto!$G39</f>
        <v>20082937.232999999</v>
      </c>
      <c r="G39">
        <f>tetto_ionofree_PR!$E39</f>
        <v>79.013519175847264</v>
      </c>
      <c r="H39">
        <f>tetto_ionofree_PR!$L39</f>
        <v>12.207319715796245</v>
      </c>
      <c r="I39">
        <f>DEGREES(ACOS(6378*COS(RADIANS(G39))/(6378+coord!B$18)))</f>
        <v>79.669231284768884</v>
      </c>
      <c r="J39" s="7">
        <f>-(10^-16)*(E39-$D39)*(coord!$B$10*10^6)^2*SIN(RADIANS($I39))/40.3</f>
        <v>18.374756252626781</v>
      </c>
      <c r="K39">
        <f>-(10^-16)*(F39-$D39)*(coord!$B$11*10^6)^2*SIN(RADIANS($I39))/40.3</f>
        <v>18.374756245260482</v>
      </c>
      <c r="L39">
        <f>DEGREES(coord!$B$18/(6378*TAN(RADIANS(I39))))</f>
        <v>0.65501385023603487</v>
      </c>
      <c r="M39">
        <f>lat(coord!$B$2,coord!$C$2,coord!$D$2)</f>
        <v>45.411171275371856</v>
      </c>
      <c r="N39">
        <f>lon(coord!$B$2,coord!$C$2,coord!$D$2)</f>
        <v>11.896106531717408</v>
      </c>
      <c r="O39" s="7">
        <f t="shared" si="4"/>
        <v>46.051202127349306</v>
      </c>
      <c r="P39">
        <f t="shared" si="5"/>
        <v>3.4830232121849662E-3</v>
      </c>
      <c r="Q39">
        <f t="shared" si="6"/>
        <v>0.99999393425625505</v>
      </c>
      <c r="R39" s="7">
        <f t="shared" si="7"/>
        <v>12.095669465221073</v>
      </c>
    </row>
    <row r="40" spans="1:18">
      <c r="A40">
        <f>tetto_ionofree_PR!A40</f>
        <v>8</v>
      </c>
      <c r="B40">
        <f>tetto_ionofree_PR!B40</f>
        <v>0.31666666666666665</v>
      </c>
      <c r="C40">
        <f>tetto_ionofree_PR!C40</f>
        <v>7</v>
      </c>
      <c r="D40">
        <f>tetto_ionofree_PR!D40</f>
        <v>22099725.767479174</v>
      </c>
      <c r="E40">
        <f>tetto!$D40</f>
        <v>22099723.570999999</v>
      </c>
      <c r="F40">
        <f>tetto!$G40</f>
        <v>22099722.149999999</v>
      </c>
      <c r="G40">
        <f>tetto_ionofree_PR!$E40</f>
        <v>40.122877633954737</v>
      </c>
      <c r="H40">
        <f>tetto_ionofree_PR!$L40</f>
        <v>176.91575512085865</v>
      </c>
      <c r="I40">
        <f>DEGREES(ACOS(6378*COS(RADIANS(G40))/(6378+coord!B$18)))</f>
        <v>43.983657634584588</v>
      </c>
      <c r="J40" s="7">
        <f>-(10^-16)*(E40-$D40)*(coord!$B$10*10^6)^2*SIN(RADIANS($I40))/40.3</f>
        <v>9.3941548662466019</v>
      </c>
      <c r="K40">
        <f>-(10^-16)*(F40-$D40)*(coord!$B$11*10^6)^2*SIN(RADIANS($I40))/40.3</f>
        <v>9.3941548671038362</v>
      </c>
      <c r="L40">
        <f>DEGREES(coord!$B$18/(6378*TAN(RADIANS(I40))))</f>
        <v>3.723135353094706</v>
      </c>
      <c r="M40">
        <f>lat(coord!$B$2,coord!$C$2,coord!$D$2)</f>
        <v>45.411171275371856</v>
      </c>
      <c r="N40">
        <f>lon(coord!$B$2,coord!$C$2,coord!$D$2)</f>
        <v>11.896106531717408</v>
      </c>
      <c r="O40" s="7">
        <f t="shared" si="4"/>
        <v>41.693102243762453</v>
      </c>
      <c r="P40">
        <f t="shared" si="5"/>
        <v>4.6788615818086458E-3</v>
      </c>
      <c r="Q40">
        <f t="shared" si="6"/>
        <v>0.99998905406724237</v>
      </c>
      <c r="R40" s="7">
        <f t="shared" si="7"/>
        <v>12.164186531410211</v>
      </c>
    </row>
    <row r="42" spans="1:18">
      <c r="A42">
        <f>tetto_ionofree_PR!A42</f>
        <v>10</v>
      </c>
      <c r="B42">
        <f>tetto_ionofree_PR!B42</f>
        <v>0.33333333333333331</v>
      </c>
      <c r="C42">
        <f>tetto_ionofree_PR!C42</f>
        <v>2</v>
      </c>
      <c r="D42">
        <f>tetto_ionofree_PR!D42</f>
        <v>22787736.121749245</v>
      </c>
      <c r="E42">
        <f>tetto!$D42</f>
        <v>22787733.425999999</v>
      </c>
      <c r="F42">
        <f>tetto!$G42</f>
        <v>22787731.682</v>
      </c>
      <c r="G42">
        <f>tetto_ionofree_PR!$E42</f>
        <v>28.473592955482111</v>
      </c>
      <c r="H42">
        <f>tetto_ionofree_PR!$L42</f>
        <v>-51.163186512334676</v>
      </c>
      <c r="I42">
        <f>DEGREES(ACOS(6378*COS(RADIANS(G42))/(6378+coord!B$18)))</f>
        <v>34.191796065276883</v>
      </c>
      <c r="J42" s="7">
        <f>-(10^-16)*(E42-$D42)*(coord!$B$10*10^6)^2*SIN(RADIANS($I42))/40.3</f>
        <v>9.3298869509156006</v>
      </c>
      <c r="K42">
        <f>-(10^-16)*(F42-$D42)*(coord!$B$11*10^6)^2*SIN(RADIANS($I42))/40.3</f>
        <v>9.3298869529553574</v>
      </c>
      <c r="L42">
        <f>DEGREES(coord!$B$18/(6378*TAN(RADIANS(I42))))</f>
        <v>5.2890656473592452</v>
      </c>
      <c r="M42">
        <f>lat(coord!$B$2,coord!$C$2,coord!$D$2)</f>
        <v>45.411171275371856</v>
      </c>
      <c r="N42">
        <f>lon(coord!$B$2,coord!$C$2,coord!$D$2)</f>
        <v>11.896106531717408</v>
      </c>
      <c r="O42" s="7">
        <f t="shared" si="4"/>
        <v>48.565435397543077</v>
      </c>
      <c r="P42">
        <f t="shared" si="5"/>
        <v>-0.10850190638090686</v>
      </c>
      <c r="Q42">
        <f t="shared" si="6"/>
        <v>0.99409624097051541</v>
      </c>
      <c r="R42" s="7">
        <f t="shared" si="7"/>
        <v>5.6671422942950942</v>
      </c>
    </row>
    <row r="43" spans="1:18">
      <c r="A43">
        <f>tetto_ionofree_PR!A43</f>
        <v>10</v>
      </c>
      <c r="B43">
        <f>tetto_ionofree_PR!B43</f>
        <v>0.33333333333333331</v>
      </c>
      <c r="C43">
        <f>tetto_ionofree_PR!C43</f>
        <v>23</v>
      </c>
      <c r="D43">
        <f>tetto_ionofree_PR!D43</f>
        <v>20954024.553321164</v>
      </c>
      <c r="E43">
        <f>tetto!$D43</f>
        <v>20954020.164999999</v>
      </c>
      <c r="F43">
        <f>tetto!$G43</f>
        <v>20954017.326000001</v>
      </c>
      <c r="G43">
        <f>tetto_ionofree_PR!$E43</f>
        <v>54.623310362799522</v>
      </c>
      <c r="H43">
        <f>tetto_ionofree_PR!$L43</f>
        <v>54.81270146230316</v>
      </c>
      <c r="I43">
        <f>DEGREES(ACOS(6378*COS(RADIANS(G43))/(6378+coord!B$18)))</f>
        <v>56.990156986762116</v>
      </c>
      <c r="J43" s="7">
        <f>-(10^-16)*(E43-$D43)*(coord!$B$10*10^6)^2*SIN(RADIANS($I43))/40.3</f>
        <v>22.663605875548868</v>
      </c>
      <c r="K43">
        <f>-(10^-16)*(F43-$D43)*(coord!$B$11*10^6)^2*SIN(RADIANS($I43))/40.3</f>
        <v>22.663605874585116</v>
      </c>
      <c r="L43">
        <f>DEGREES(coord!$B$18/(6378*TAN(RADIANS(I43))))</f>
        <v>2.3344189366515526</v>
      </c>
      <c r="M43">
        <f>lat(coord!$B$2,coord!$C$2,coord!$D$2)</f>
        <v>45.411171275371856</v>
      </c>
      <c r="N43">
        <f>lon(coord!$B$2,coord!$C$2,coord!$D$2)</f>
        <v>11.896106531717408</v>
      </c>
      <c r="O43" s="7">
        <f t="shared" si="4"/>
        <v>46.723125588962539</v>
      </c>
      <c r="P43">
        <f t="shared" si="5"/>
        <v>4.85601432674811E-2</v>
      </c>
      <c r="Q43">
        <f t="shared" si="6"/>
        <v>0.9988202603501003</v>
      </c>
      <c r="R43" s="7">
        <f t="shared" si="7"/>
        <v>14.679492436509314</v>
      </c>
    </row>
    <row r="44" spans="1:18">
      <c r="A44">
        <f>tetto_ionofree_PR!A44</f>
        <v>10</v>
      </c>
      <c r="B44">
        <f>tetto_ionofree_PR!B44</f>
        <v>0.33333333333333331</v>
      </c>
      <c r="C44">
        <f>tetto_ionofree_PR!C44</f>
        <v>10</v>
      </c>
      <c r="D44">
        <f>tetto_ionofree_PR!D44</f>
        <v>23170374.094366252</v>
      </c>
      <c r="E44">
        <f>tetto!$D44</f>
        <v>23170373.050999999</v>
      </c>
      <c r="F44">
        <f>tetto!$G44</f>
        <v>23170372.375999998</v>
      </c>
      <c r="G44">
        <f>tetto_ionofree_PR!$E44</f>
        <v>23.247007724797101</v>
      </c>
      <c r="H44">
        <f>tetto_ionofree_PR!$L44</f>
        <v>-61.513696109603558</v>
      </c>
      <c r="I44">
        <f>DEGREES(ACOS(6378*COS(RADIANS(G44))/(6378+coord!B$18)))</f>
        <v>30.164233296766426</v>
      </c>
      <c r="J44" s="7">
        <f>-(10^-16)*(E44-$D44)*(coord!$B$10*10^6)^2*SIN(RADIANS($I44))/40.3</f>
        <v>3.2288176053536213</v>
      </c>
      <c r="K44">
        <f>-(10^-16)*(F44-$D44)*(coord!$B$11*10^6)^2*SIN(RADIANS($I44))/40.3</f>
        <v>3.2288176046069723</v>
      </c>
      <c r="L44">
        <f>DEGREES(coord!$B$18/(6378*TAN(RADIANS(I44))))</f>
        <v>6.1828480161426986</v>
      </c>
      <c r="M44">
        <f>lat(coord!$B$2,coord!$C$2,coord!$D$2)</f>
        <v>45.411171275371856</v>
      </c>
      <c r="N44">
        <f>lon(coord!$B$2,coord!$C$2,coord!$D$2)</f>
        <v>11.896106531717408</v>
      </c>
      <c r="O44" s="7">
        <f t="shared" si="4"/>
        <v>48.080281881906537</v>
      </c>
      <c r="P44">
        <f t="shared" si="5"/>
        <v>-0.14169139734661121</v>
      </c>
      <c r="Q44">
        <f t="shared" si="6"/>
        <v>0.98991087877544015</v>
      </c>
      <c r="R44" s="7">
        <f t="shared" si="7"/>
        <v>3.7503745746081307</v>
      </c>
    </row>
    <row r="45" spans="1:18">
      <c r="A45">
        <f>tetto_ionofree_PR!A45</f>
        <v>10</v>
      </c>
      <c r="B45">
        <f>tetto_ionofree_PR!B45</f>
        <v>0.33333333333333331</v>
      </c>
      <c r="C45">
        <f>tetto_ionofree_PR!C45</f>
        <v>4</v>
      </c>
      <c r="D45">
        <f>tetto_ionofree_PR!D45</f>
        <v>21086518.35139459</v>
      </c>
      <c r="E45">
        <f>tetto!$D45</f>
        <v>21086517.662</v>
      </c>
      <c r="F45">
        <f>tetto!$G45</f>
        <v>21086517.215999998</v>
      </c>
      <c r="G45">
        <f>tetto_ionofree_PR!$E45</f>
        <v>55.612385610777814</v>
      </c>
      <c r="H45">
        <f>tetto_ionofree_PR!$L45</f>
        <v>253.80081894426581</v>
      </c>
      <c r="I45">
        <f>DEGREES(ACOS(6378*COS(RADIANS(G45))/(6378+coord!B$18)))</f>
        <v>57.895985642159324</v>
      </c>
      <c r="J45" s="7">
        <f>-(10^-16)*(E45-$D45)*(coord!$B$10*10^6)^2*SIN(RADIANS($I45))/40.3</f>
        <v>3.5965190485447178</v>
      </c>
      <c r="K45">
        <f>-(10^-16)*(F45-$D45)*(coord!$B$11*10^6)^2*SIN(RADIANS($I45))/40.3</f>
        <v>3.5965190568082552</v>
      </c>
      <c r="L45">
        <f>DEGREES(coord!$B$18/(6378*TAN(RADIANS(I45))))</f>
        <v>2.2544477266970762</v>
      </c>
      <c r="M45">
        <f>lat(coord!$B$2,coord!$C$2,coord!$D$2)</f>
        <v>45.411171275371856</v>
      </c>
      <c r="N45">
        <f>lon(coord!$B$2,coord!$C$2,coord!$D$2)</f>
        <v>11.896106531717408</v>
      </c>
      <c r="O45" s="7">
        <f t="shared" si="4"/>
        <v>44.741361225505699</v>
      </c>
      <c r="P45">
        <f t="shared" si="5"/>
        <v>-5.318323083576651E-2</v>
      </c>
      <c r="Q45">
        <f t="shared" si="6"/>
        <v>0.99858477054172512</v>
      </c>
      <c r="R45" s="7">
        <f t="shared" si="7"/>
        <v>8.8474935659315648</v>
      </c>
    </row>
    <row r="46" spans="1:18">
      <c r="A46">
        <f>tetto_ionofree_PR!A46</f>
        <v>10</v>
      </c>
      <c r="B46">
        <f>tetto_ionofree_PR!B46</f>
        <v>0.33333333333333331</v>
      </c>
      <c r="C46">
        <f>tetto_ionofree_PR!C46</f>
        <v>20</v>
      </c>
      <c r="D46">
        <f>tetto_ionofree_PR!D46</f>
        <v>22802202.062285535</v>
      </c>
      <c r="E46">
        <f>tetto!$D46</f>
        <v>22802200.447000001</v>
      </c>
      <c r="F46">
        <f>tetto!$G46</f>
        <v>22802199.401999999</v>
      </c>
      <c r="G46">
        <f>tetto_ionofree_PR!$E46</f>
        <v>29.642823824766715</v>
      </c>
      <c r="H46">
        <f>tetto_ionofree_PR!$L46</f>
        <v>114.58583061399908</v>
      </c>
      <c r="I46">
        <f>DEGREES(ACOS(6378*COS(RADIANS(G46))/(6378+coord!B$18)))</f>
        <v>35.131393767683136</v>
      </c>
      <c r="J46" s="7">
        <f>-(10^-16)*(E46-$D46)*(coord!$B$10*10^6)^2*SIN(RADIANS($I46))/40.3</f>
        <v>5.7246266092011577</v>
      </c>
      <c r="K46">
        <f>-(10^-16)*(F46-$D46)*(coord!$B$11*10^6)^2*SIN(RADIANS($I46))/40.3</f>
        <v>5.7246266072839038</v>
      </c>
      <c r="L46">
        <f>DEGREES(coord!$B$18/(6378*TAN(RADIANS(I46))))</f>
        <v>5.1068529940320433</v>
      </c>
      <c r="M46">
        <f>lat(coord!$B$2,coord!$C$2,coord!$D$2)</f>
        <v>45.411171275371856</v>
      </c>
      <c r="N46">
        <f>lon(coord!$B$2,coord!$C$2,coord!$D$2)</f>
        <v>11.896106531717408</v>
      </c>
      <c r="O46" s="7">
        <f t="shared" si="4"/>
        <v>43.104974179673562</v>
      </c>
      <c r="P46">
        <f t="shared" si="5"/>
        <v>0.11086571480953214</v>
      </c>
      <c r="Q46">
        <f t="shared" si="6"/>
        <v>0.99383539546535138</v>
      </c>
      <c r="R46" s="7">
        <f t="shared" si="7"/>
        <v>18.261329159744154</v>
      </c>
    </row>
    <row r="47" spans="1:18">
      <c r="A47">
        <f>tetto_ionofree_PR!A47</f>
        <v>10</v>
      </c>
      <c r="B47">
        <f>tetto_ionofree_PR!B47</f>
        <v>0.33333333333333331</v>
      </c>
      <c r="C47">
        <f>tetto_ionofree_PR!C47</f>
        <v>13</v>
      </c>
      <c r="D47">
        <f>tetto_ionofree_PR!D47</f>
        <v>20088482.605836414</v>
      </c>
      <c r="E47">
        <f>tetto!$D47</f>
        <v>20088479.416999999</v>
      </c>
      <c r="F47">
        <f>tetto!$G47</f>
        <v>20088477.353999998</v>
      </c>
      <c r="G47">
        <f>tetto_ionofree_PR!$E47</f>
        <v>78.649816343955237</v>
      </c>
      <c r="H47">
        <f>tetto_ionofree_PR!$L47</f>
        <v>13.89592552627596</v>
      </c>
      <c r="I47">
        <f>DEGREES(ACOS(6378*COS(RADIANS(G47))/(6378+coord!B$18)))</f>
        <v>79.327753735769718</v>
      </c>
      <c r="J47" s="7">
        <f>-(10^-16)*(E47-$D47)*(coord!$B$10*10^6)^2*SIN(RADIANS($I47))/40.3</f>
        <v>19.299320406992205</v>
      </c>
      <c r="K47">
        <f>-(10^-16)*(F47-$D47)*(coord!$B$11*10^6)^2*SIN(RADIANS($I47))/40.3</f>
        <v>19.299320401466929</v>
      </c>
      <c r="L47">
        <f>DEGREES(coord!$B$18/(6378*TAN(RADIANS(I47))))</f>
        <v>0.67716575320858041</v>
      </c>
      <c r="M47">
        <f>lat(coord!$B$2,coord!$C$2,coord!$D$2)</f>
        <v>45.411171275371856</v>
      </c>
      <c r="N47">
        <f>lon(coord!$B$2,coord!$C$2,coord!$D$2)</f>
        <v>11.896106531717408</v>
      </c>
      <c r="O47" s="7">
        <f t="shared" si="4"/>
        <v>46.068281003077793</v>
      </c>
      <c r="P47">
        <f t="shared" si="5"/>
        <v>4.0909714305106719E-3</v>
      </c>
      <c r="Q47">
        <f t="shared" si="6"/>
        <v>0.9999916319413652</v>
      </c>
      <c r="R47" s="7">
        <f t="shared" si="7"/>
        <v>12.13050258260793</v>
      </c>
    </row>
    <row r="48" spans="1:18">
      <c r="A48">
        <f>tetto_ionofree_PR!A48</f>
        <v>10</v>
      </c>
      <c r="B48">
        <f>tetto_ionofree_PR!B48</f>
        <v>0.33333333333333331</v>
      </c>
      <c r="C48">
        <f>tetto_ionofree_PR!C48</f>
        <v>7</v>
      </c>
      <c r="D48">
        <f>tetto_ionofree_PR!D48</f>
        <v>22064940.009504512</v>
      </c>
      <c r="E48">
        <f>tetto!$D48</f>
        <v>22064938.184</v>
      </c>
      <c r="F48">
        <f>tetto!$G48</f>
        <v>22064937.002999999</v>
      </c>
      <c r="G48">
        <f>tetto_ionofree_PR!$E48</f>
        <v>40.607700331765272</v>
      </c>
      <c r="H48">
        <f>tetto_ionofree_PR!$L48</f>
        <v>176.83820156288073</v>
      </c>
      <c r="I48">
        <f>DEGREES(ACOS(6378*COS(RADIANS(G48))/(6378+coord!B$18)))</f>
        <v>44.407505899434256</v>
      </c>
      <c r="J48" s="7">
        <f>-(10^-16)*(E48-$D48)*(coord!$B$10*10^6)^2*SIN(RADIANS($I48))/40.3</f>
        <v>7.8671563837419631</v>
      </c>
      <c r="K48">
        <f>-(10^-16)*(F48-$D48)*(coord!$B$11*10^6)^2*SIN(RADIANS($I48))/40.3</f>
        <v>7.867156382810486</v>
      </c>
      <c r="L48">
        <f>DEGREES(coord!$B$18/(6378*TAN(RADIANS(I48))))</f>
        <v>3.6684347955504899</v>
      </c>
      <c r="M48">
        <f>lat(coord!$B$2,coord!$C$2,coord!$D$2)</f>
        <v>45.411171275371856</v>
      </c>
      <c r="N48">
        <f>lon(coord!$B$2,coord!$C$2,coord!$D$2)</f>
        <v>11.896106531717408</v>
      </c>
      <c r="O48" s="7">
        <f t="shared" si="4"/>
        <v>41.747987083377488</v>
      </c>
      <c r="P48">
        <f t="shared" si="5"/>
        <v>4.7300601888145459E-3</v>
      </c>
      <c r="Q48">
        <f t="shared" si="6"/>
        <v>0.99998881320273303</v>
      </c>
      <c r="R48" s="7">
        <f t="shared" si="7"/>
        <v>12.167120027971102</v>
      </c>
    </row>
    <row r="50" spans="1:18">
      <c r="A50">
        <f>tetto_ionofree_PR!A50</f>
        <v>12</v>
      </c>
      <c r="B50">
        <f>tetto_ionofree_PR!B50</f>
        <v>0.35</v>
      </c>
      <c r="C50">
        <f>tetto_ionofree_PR!C50</f>
        <v>2</v>
      </c>
      <c r="D50">
        <f>tetto_ionofree_PR!D50</f>
        <v>22759747.100565046</v>
      </c>
      <c r="E50">
        <f>tetto!$D50</f>
        <v>22759743.903999999</v>
      </c>
      <c r="F50">
        <f>tetto!$G50</f>
        <v>22759741.835999999</v>
      </c>
      <c r="G50">
        <f>tetto_ionofree_PR!$E50</f>
        <v>28.773189696883961</v>
      </c>
      <c r="H50">
        <f>tetto_ionofree_PR!$L50</f>
        <v>-51.47948265160548</v>
      </c>
      <c r="I50">
        <f>DEGREES(ACOS(6378*COS(RADIANS(G50))/(6378+coord!B$18)))</f>
        <v>34.431380282475324</v>
      </c>
      <c r="J50" s="7">
        <f>-(10^-16)*(E50-$D50)*(coord!$B$10*10^6)^2*SIN(RADIANS($I50))/40.3</f>
        <v>11.131186841281878</v>
      </c>
      <c r="K50">
        <f>-(10^-16)*(F50-$D50)*(coord!$B$11*10^6)^2*SIN(RADIANS($I50))/40.3</f>
        <v>11.131186844598803</v>
      </c>
      <c r="L50">
        <f>DEGREES(coord!$B$18/(6378*TAN(RADIANS(I50))))</f>
        <v>5.2417774317567885</v>
      </c>
      <c r="M50">
        <f>lat(coord!$B$2,coord!$C$2,coord!$D$2)</f>
        <v>45.411171275371856</v>
      </c>
      <c r="N50">
        <f>lon(coord!$B$2,coord!$C$2,coord!$D$2)</f>
        <v>11.896106531717408</v>
      </c>
      <c r="O50" s="7">
        <f t="shared" si="4"/>
        <v>48.51487484202481</v>
      </c>
      <c r="P50">
        <f t="shared" si="5"/>
        <v>-0.10790298875992602</v>
      </c>
      <c r="Q50">
        <f t="shared" si="6"/>
        <v>0.99416142804711327</v>
      </c>
      <c r="R50" s="7">
        <f t="shared" si="7"/>
        <v>5.7016604067661696</v>
      </c>
    </row>
    <row r="51" spans="1:18">
      <c r="A51">
        <f>tetto_ionofree_PR!A51</f>
        <v>12</v>
      </c>
      <c r="B51">
        <f>tetto_ionofree_PR!B51</f>
        <v>0.35</v>
      </c>
      <c r="C51">
        <f>tetto_ionofree_PR!C51</f>
        <v>23</v>
      </c>
      <c r="D51">
        <f>tetto_ionofree_PR!D51</f>
        <v>20974798.689905971</v>
      </c>
      <c r="E51">
        <f>tetto!$D51</f>
        <v>20974794.079</v>
      </c>
      <c r="F51">
        <f>tetto!$G51</f>
        <v>20974791.096000001</v>
      </c>
      <c r="G51">
        <f>tetto_ionofree_PR!$E51</f>
        <v>54.194186352739898</v>
      </c>
      <c r="H51">
        <f>tetto_ionofree_PR!$L51</f>
        <v>55.056235566225425</v>
      </c>
      <c r="I51">
        <f>DEGREES(ACOS(6378*COS(RADIANS(G51))/(6378+coord!B$18)))</f>
        <v>56.597706940347102</v>
      </c>
      <c r="J51" s="7">
        <f>-(10^-16)*(E51-$D51)*(coord!$B$10*10^6)^2*SIN(RADIANS($I51))/40.3</f>
        <v>23.706629239098465</v>
      </c>
      <c r="K51">
        <f>-(10^-16)*(F51-$D51)*(coord!$B$11*10^6)^2*SIN(RADIANS($I51))/40.3</f>
        <v>23.706629229849703</v>
      </c>
      <c r="L51">
        <f>DEGREES(coord!$B$18/(6378*TAN(RADIANS(I51))))</f>
        <v>2.3695764090810916</v>
      </c>
      <c r="M51">
        <f>lat(coord!$B$2,coord!$C$2,coord!$D$2)</f>
        <v>45.411171275371856</v>
      </c>
      <c r="N51">
        <f>lon(coord!$B$2,coord!$C$2,coord!$D$2)</f>
        <v>11.896106531717408</v>
      </c>
      <c r="O51" s="7">
        <f t="shared" si="4"/>
        <v>46.733917550246304</v>
      </c>
      <c r="P51">
        <f t="shared" si="5"/>
        <v>4.9448238968213605E-2</v>
      </c>
      <c r="Q51">
        <f t="shared" si="6"/>
        <v>0.99877668758483873</v>
      </c>
      <c r="R51" s="7">
        <f t="shared" si="7"/>
        <v>14.730437780769895</v>
      </c>
    </row>
    <row r="52" spans="1:18">
      <c r="A52">
        <f>tetto_ionofree_PR!A52</f>
        <v>12</v>
      </c>
      <c r="B52">
        <f>tetto_ionofree_PR!B52</f>
        <v>0.35</v>
      </c>
      <c r="C52">
        <f>tetto_ionofree_PR!C52</f>
        <v>10</v>
      </c>
      <c r="D52">
        <f>tetto_ionofree_PR!D52</f>
        <v>23135116.654892229</v>
      </c>
      <c r="E52">
        <f>tetto!$D52</f>
        <v>23135116.236000001</v>
      </c>
      <c r="F52">
        <f>tetto!$G52</f>
        <v>23135115.965</v>
      </c>
      <c r="G52">
        <f>tetto_ionofree_PR!$E52</f>
        <v>23.638635421475172</v>
      </c>
      <c r="H52">
        <f>tetto_ionofree_PR!$L52</f>
        <v>-61.335132553831954</v>
      </c>
      <c r="I52">
        <f>DEGREES(ACOS(6378*COS(RADIANS(G52))/(6378+coord!B$18)))</f>
        <v>30.454735594926223</v>
      </c>
      <c r="J52" s="7">
        <f>-(10^-16)*(E52-$D52)*(coord!$B$10*10^6)^2*SIN(RADIANS($I52))/40.3</f>
        <v>1.3076028167223941</v>
      </c>
      <c r="K52">
        <f>-(10^-16)*(F52-$D52)*(coord!$B$11*10^6)^2*SIN(RADIANS($I52))/40.3</f>
        <v>1.3076028213236905</v>
      </c>
      <c r="L52">
        <f>DEGREES(coord!$B$18/(6378*TAN(RADIANS(I52))))</f>
        <v>6.1113130721346058</v>
      </c>
      <c r="M52">
        <f>lat(coord!$B$2,coord!$C$2,coord!$D$2)</f>
        <v>45.411171275371856</v>
      </c>
      <c r="N52">
        <f>lon(coord!$B$2,coord!$C$2,coord!$D$2)</f>
        <v>11.896106531717408</v>
      </c>
      <c r="O52" s="7">
        <f t="shared" si="4"/>
        <v>48.07034533597637</v>
      </c>
      <c r="P52">
        <f t="shared" si="5"/>
        <v>-0.1397937586805762</v>
      </c>
      <c r="Q52">
        <f t="shared" si="6"/>
        <v>0.99018064262737271</v>
      </c>
      <c r="R52" s="7">
        <f t="shared" si="7"/>
        <v>3.8601944007552387</v>
      </c>
    </row>
    <row r="53" spans="1:18">
      <c r="A53">
        <f>tetto_ionofree_PR!A53</f>
        <v>12</v>
      </c>
      <c r="B53">
        <f>tetto_ionofree_PR!B53</f>
        <v>0.35</v>
      </c>
      <c r="C53">
        <f>tetto_ionofree_PR!C53</f>
        <v>4</v>
      </c>
      <c r="D53">
        <f>tetto_ionofree_PR!D53</f>
        <v>21094682.184120227</v>
      </c>
      <c r="E53">
        <f>tetto!$D53</f>
        <v>21094681.504000001</v>
      </c>
      <c r="F53">
        <f>tetto!$G53</f>
        <v>21094681.063999999</v>
      </c>
      <c r="G53">
        <f>tetto_ionofree_PR!$E53</f>
        <v>55.491573557903536</v>
      </c>
      <c r="H53">
        <f>tetto_ionofree_PR!$L53</f>
        <v>252.97809130278833</v>
      </c>
      <c r="I53">
        <f>DEGREES(ACOS(6378*COS(RADIANS(G53))/(6378+coord!B$18)))</f>
        <v>57.785248272586252</v>
      </c>
      <c r="J53" s="7">
        <f>-(10^-16)*(E53-$D53)*(coord!$B$10*10^6)^2*SIN(RADIANS($I53))/40.3</f>
        <v>3.5438263463893875</v>
      </c>
      <c r="K53">
        <f>-(10^-16)*(F53-$D53)*(coord!$B$11*10^6)^2*SIN(RADIANS($I53))/40.3</f>
        <v>3.5438263450569112</v>
      </c>
      <c r="L53">
        <f>DEGREES(coord!$B$18/(6378*TAN(RADIANS(I53))))</f>
        <v>2.264138166741227</v>
      </c>
      <c r="M53">
        <f>lat(coord!$B$2,coord!$C$2,coord!$D$2)</f>
        <v>45.411171275371856</v>
      </c>
      <c r="N53">
        <f>lon(coord!$B$2,coord!$C$2,coord!$D$2)</f>
        <v>11.896106531717408</v>
      </c>
      <c r="O53" s="7">
        <f t="shared" si="4"/>
        <v>44.707534851050248</v>
      </c>
      <c r="P53">
        <f t="shared" si="5"/>
        <v>-5.3152316294533361E-2</v>
      </c>
      <c r="Q53">
        <f t="shared" si="6"/>
        <v>0.99858641652714553</v>
      </c>
      <c r="R53" s="7">
        <f t="shared" si="7"/>
        <v>8.8492673475178094</v>
      </c>
    </row>
    <row r="54" spans="1:18">
      <c r="A54">
        <f>tetto_ionofree_PR!A54</f>
        <v>12</v>
      </c>
      <c r="B54">
        <f>tetto_ionofree_PR!B54</f>
        <v>0.35</v>
      </c>
      <c r="C54">
        <f>tetto_ionofree_PR!C54</f>
        <v>20</v>
      </c>
      <c r="D54">
        <f>tetto_ionofree_PR!D54</f>
        <v>22836102.363525115</v>
      </c>
      <c r="E54">
        <f>tetto!$D54</f>
        <v>22836101.449999999</v>
      </c>
      <c r="F54">
        <f>tetto!$G54</f>
        <v>22836100.859000001</v>
      </c>
      <c r="G54">
        <f>tetto_ionofree_PR!$E54</f>
        <v>29.256386497809999</v>
      </c>
      <c r="H54">
        <f>tetto_ionofree_PR!$L54</f>
        <v>114.87223172013509</v>
      </c>
      <c r="I54">
        <f>DEGREES(ACOS(6378*COS(RADIANS(G54))/(6378+coord!B$18)))</f>
        <v>34.819505321043188</v>
      </c>
      <c r="J54" s="7">
        <f>-(10^-16)*(E54-$D54)*(coord!$B$10*10^6)^2*SIN(RADIANS($I54))/40.3</f>
        <v>3.2124694034429289</v>
      </c>
      <c r="K54">
        <f>-(10^-16)*(F54-$D54)*(coord!$B$11*10^6)^2*SIN(RADIANS($I54))/40.3</f>
        <v>3.2124694027822835</v>
      </c>
      <c r="L54">
        <f>DEGREES(coord!$B$18/(6378*TAN(RADIANS(I54))))</f>
        <v>5.1663824036906423</v>
      </c>
      <c r="M54">
        <f>lat(coord!$B$2,coord!$C$2,coord!$D$2)</f>
        <v>45.411171275371856</v>
      </c>
      <c r="N54">
        <f>lon(coord!$B$2,coord!$C$2,coord!$D$2)</f>
        <v>11.896106531717408</v>
      </c>
      <c r="O54" s="7">
        <f t="shared" ref="O54:O117" si="8">DEGREES(ASIN(SIN(RADIANS(M54))*COS(RADIANS(L54))+COS(RADIANS(M54))*SIN(RADIANS(L54))*COS(RADIANS(H54))))</f>
        <v>43.053554299290717</v>
      </c>
      <c r="P54">
        <f t="shared" ref="P54:P117" si="9">SIN(RADIANS(L54))*SIN(RADIANS(H54))/COS(RADIANS(O54))</f>
        <v>0.11180279720594945</v>
      </c>
      <c r="Q54">
        <f t="shared" ref="Q54:Q117" si="10">(COS(RADIANS(L54))-SIN(RADIANS(M54))*SIN(RADIANS(O54)))/(COS(RADIANS(M54))*COS(RADIANS(O54)))</f>
        <v>0.99373041341046098</v>
      </c>
      <c r="R54" s="7">
        <f t="shared" ref="R54:R117" si="11">N54+DEGREES(ATAN2(Q54,P54))</f>
        <v>18.315355911615921</v>
      </c>
    </row>
    <row r="55" spans="1:18">
      <c r="A55">
        <f>tetto_ionofree_PR!A55</f>
        <v>12</v>
      </c>
      <c r="B55">
        <f>tetto_ionofree_PR!B55</f>
        <v>0.35</v>
      </c>
      <c r="C55">
        <f>tetto_ionofree_PR!C55</f>
        <v>13</v>
      </c>
      <c r="D55">
        <f>tetto_ionofree_PR!D55</f>
        <v>20094331.551346075</v>
      </c>
      <c r="E55">
        <f>tetto!$D55</f>
        <v>20094328.565000001</v>
      </c>
      <c r="F55">
        <f>tetto!$G55</f>
        <v>20094326.633000001</v>
      </c>
      <c r="G55">
        <f>tetto_ionofree_PR!$E55</f>
        <v>78.280017046451178</v>
      </c>
      <c r="H55">
        <f>tetto_ionofree_PR!$L55</f>
        <v>15.492990637347233</v>
      </c>
      <c r="I55">
        <f>DEGREES(ACOS(6378*COS(RADIANS(G55))/(6378+coord!B$18)))</f>
        <v>78.980605189099222</v>
      </c>
      <c r="J55" s="7">
        <f>-(10^-16)*(E55-$D55)*(coord!$B$10*10^6)^2*SIN(RADIANS($I55))/40.3</f>
        <v>18.052849946645775</v>
      </c>
      <c r="K55">
        <f>-(10^-16)*(F55-$D55)*(coord!$B$11*10^6)^2*SIN(RADIANS($I55))/40.3</f>
        <v>18.052849941594094</v>
      </c>
      <c r="L55">
        <f>DEGREES(coord!$B$18/(6378*TAN(RADIANS(I55))))</f>
        <v>0.69973661197657055</v>
      </c>
      <c r="M55">
        <f>lat(coord!$B$2,coord!$C$2,coord!$D$2)</f>
        <v>45.411171275371856</v>
      </c>
      <c r="N55">
        <f>lon(coord!$B$2,coord!$C$2,coord!$D$2)</f>
        <v>11.896106531717408</v>
      </c>
      <c r="O55" s="7">
        <f t="shared" si="8"/>
        <v>46.085167405111726</v>
      </c>
      <c r="P55">
        <f t="shared" si="9"/>
        <v>4.703342267673956E-3</v>
      </c>
      <c r="Q55">
        <f t="shared" si="10"/>
        <v>0.99998893922458609</v>
      </c>
      <c r="R55" s="7">
        <f t="shared" si="11"/>
        <v>12.165589186823723</v>
      </c>
    </row>
    <row r="56" spans="1:18">
      <c r="A56">
        <f>tetto_ionofree_PR!A56</f>
        <v>12</v>
      </c>
      <c r="B56">
        <f>tetto_ionofree_PR!B56</f>
        <v>0.35</v>
      </c>
      <c r="C56">
        <f>tetto_ionofree_PR!C56</f>
        <v>7</v>
      </c>
      <c r="D56">
        <f>tetto_ionofree_PR!D56</f>
        <v>22030417.473165736</v>
      </c>
      <c r="E56">
        <f>tetto!$D56</f>
        <v>22030415.506999999</v>
      </c>
      <c r="F56">
        <f>tetto!$G56</f>
        <v>22030414.234999999</v>
      </c>
      <c r="G56">
        <f>tetto_ionofree_PR!$E56</f>
        <v>41.093143964254232</v>
      </c>
      <c r="H56">
        <f>tetto_ionofree_PR!$L56</f>
        <v>176.75863681149488</v>
      </c>
      <c r="I56">
        <f>DEGREES(ACOS(6378*COS(RADIANS(G56))/(6378+coord!B$18)))</f>
        <v>44.832878706343678</v>
      </c>
      <c r="J56" s="7">
        <f>-(10^-16)*(E56-$D56)*(coord!$B$10*10^6)^2*SIN(RADIANS($I56))/40.3</f>
        <v>8.5373351156929491</v>
      </c>
      <c r="K56">
        <f>-(10^-16)*(F56-$D56)*(coord!$B$11*10^6)^2*SIN(RADIANS($I56))/40.3</f>
        <v>8.5373351154637778</v>
      </c>
      <c r="L56">
        <f>DEGREES(coord!$B$18/(6378*TAN(RADIANS(I56))))</f>
        <v>3.6143619209934719</v>
      </c>
      <c r="M56">
        <f>lat(coord!$B$2,coord!$C$2,coord!$D$2)</f>
        <v>45.411171275371856</v>
      </c>
      <c r="N56">
        <f>lon(coord!$B$2,coord!$C$2,coord!$D$2)</f>
        <v>11.896106531717408</v>
      </c>
      <c r="O56" s="7">
        <f t="shared" si="8"/>
        <v>41.802250832841452</v>
      </c>
      <c r="P56">
        <f t="shared" si="9"/>
        <v>4.7816292574088147E-3</v>
      </c>
      <c r="Q56">
        <f t="shared" si="10"/>
        <v>0.99998856794547664</v>
      </c>
      <c r="R56" s="7">
        <f t="shared" si="11"/>
        <v>12.170074751370544</v>
      </c>
    </row>
    <row r="58" spans="1:18">
      <c r="A58">
        <f>tetto_ionofree_PR!A58</f>
        <v>14</v>
      </c>
      <c r="B58">
        <f>tetto_ionofree_PR!B58</f>
        <v>0.3666666666666667</v>
      </c>
      <c r="C58">
        <f>tetto_ionofree_PR!C58</f>
        <v>2</v>
      </c>
      <c r="D58">
        <f>tetto_ionofree_PR!D58</f>
        <v>22732099.289003</v>
      </c>
      <c r="E58">
        <f>tetto!$D58</f>
        <v>22732095.671999998</v>
      </c>
      <c r="F58">
        <f>tetto!$G58</f>
        <v>22732093.331999999</v>
      </c>
      <c r="G58">
        <f>tetto_ionofree_PR!$E58</f>
        <v>29.070093295252747</v>
      </c>
      <c r="H58">
        <f>tetto_ionofree_PR!$L58</f>
        <v>-51.801467273891546</v>
      </c>
      <c r="I58">
        <f>DEGREES(ACOS(6378*COS(RADIANS(G58))/(6378+coord!B$18)))</f>
        <v>34.669618690625697</v>
      </c>
      <c r="J58" s="7">
        <f>-(10^-16)*(E58-$D58)*(coord!$B$10*10^6)^2*SIN(RADIANS($I58))/40.3</f>
        <v>12.671538012269613</v>
      </c>
      <c r="K58">
        <f>-(10^-16)*(F58-$D58)*(coord!$B$11*10^6)^2*SIN(RADIANS($I58))/40.3</f>
        <v>12.671538017882668</v>
      </c>
      <c r="L58">
        <f>DEGREES(coord!$B$18/(6378*TAN(RADIANS(I58))))</f>
        <v>5.1953234503720633</v>
      </c>
      <c r="M58">
        <f>lat(coord!$B$2,coord!$C$2,coord!$D$2)</f>
        <v>45.411171275371856</v>
      </c>
      <c r="N58">
        <f>lon(coord!$B$2,coord!$C$2,coord!$D$2)</f>
        <v>11.896106531717408</v>
      </c>
      <c r="O58" s="7">
        <f t="shared" si="8"/>
        <v>48.464680390475628</v>
      </c>
      <c r="P58">
        <f t="shared" si="9"/>
        <v>-0.10731981083419104</v>
      </c>
      <c r="Q58">
        <f t="shared" si="10"/>
        <v>0.99422455119681752</v>
      </c>
      <c r="R58" s="7">
        <f t="shared" si="11"/>
        <v>5.7352692063056123</v>
      </c>
    </row>
    <row r="59" spans="1:18">
      <c r="A59">
        <f>tetto_ionofree_PR!A59</f>
        <v>14</v>
      </c>
      <c r="B59">
        <f>tetto_ionofree_PR!B59</f>
        <v>0.3666666666666667</v>
      </c>
      <c r="C59">
        <f>tetto_ionofree_PR!C59</f>
        <v>23</v>
      </c>
      <c r="D59">
        <f>tetto_ionofree_PR!D59</f>
        <v>20995784.714322884</v>
      </c>
      <c r="E59">
        <f>tetto!$D59</f>
        <v>20995779.802000001</v>
      </c>
      <c r="F59">
        <f>tetto!$G59</f>
        <v>20995776.624000002</v>
      </c>
      <c r="G59">
        <f>tetto_ionofree_PR!$E59</f>
        <v>53.766034166904184</v>
      </c>
      <c r="H59">
        <f>tetto_ionofree_PR!$L59</f>
        <v>55.300616722430149</v>
      </c>
      <c r="I59">
        <f>DEGREES(ACOS(6378*COS(RADIANS(G59))/(6378+coord!B$18)))</f>
        <v>56.206492833297759</v>
      </c>
      <c r="J59" s="7">
        <f>-(10^-16)*(E59-$D59)*(coord!$B$10*10^6)^2*SIN(RADIANS($I59))/40.3</f>
        <v>25.142034460884794</v>
      </c>
      <c r="K59">
        <f>-(10^-16)*(F59-$D59)*(coord!$B$11*10^6)^2*SIN(RADIANS($I59))/40.3</f>
        <v>25.142034464560481</v>
      </c>
      <c r="L59">
        <f>DEGREES(coord!$B$18/(6378*TAN(RADIANS(I59))))</f>
        <v>2.404940693970532</v>
      </c>
      <c r="M59">
        <f>lat(coord!$B$2,coord!$C$2,coord!$D$2)</f>
        <v>45.411171275371856</v>
      </c>
      <c r="N59">
        <f>lon(coord!$B$2,coord!$C$2,coord!$D$2)</f>
        <v>11.896106531717408</v>
      </c>
      <c r="O59" s="7">
        <f t="shared" si="8"/>
        <v>46.744494419899773</v>
      </c>
      <c r="P59">
        <f t="shared" si="9"/>
        <v>5.0344777438038127E-2</v>
      </c>
      <c r="Q59">
        <f t="shared" si="10"/>
        <v>0.9987318976505728</v>
      </c>
      <c r="R59" s="7">
        <f t="shared" si="11"/>
        <v>14.781869716955249</v>
      </c>
    </row>
    <row r="60" spans="1:18">
      <c r="A60">
        <f>tetto_ionofree_PR!A60</f>
        <v>14</v>
      </c>
      <c r="B60">
        <f>tetto_ionofree_PR!B60</f>
        <v>0.3666666666666667</v>
      </c>
      <c r="C60">
        <f>tetto_ionofree_PR!C60</f>
        <v>10</v>
      </c>
      <c r="D60">
        <f>tetto_ionofree_PR!D60</f>
        <v>23099952.569185488</v>
      </c>
      <c r="E60">
        <f>tetto!$D60</f>
        <v>23099953.577</v>
      </c>
      <c r="F60">
        <f>tetto!$G60</f>
        <v>23099954.228999998</v>
      </c>
      <c r="G60">
        <f>tetto_ionofree_PR!$E60</f>
        <v>24.031267648626368</v>
      </c>
      <c r="H60">
        <f>tetto_ionofree_PR!$L60</f>
        <v>-61.158202052323247</v>
      </c>
      <c r="I60">
        <f>DEGREES(ACOS(6378*COS(RADIANS(G60))/(6378+coord!B$18)))</f>
        <v>30.748020831843956</v>
      </c>
      <c r="J60" s="7">
        <f>-(10^-16)*(E60-$D60)*(coord!$B$10*10^6)^2*SIN(RADIANS($I60))/40.3</f>
        <v>-3.1733134591759282</v>
      </c>
      <c r="K60">
        <f>-(10^-16)*(F60-$D60)*(coord!$B$11*10^6)^2*SIN(RADIANS($I60))/40.3</f>
        <v>-3.1733134582025619</v>
      </c>
      <c r="L60">
        <f>DEGREES(coord!$B$18/(6378*TAN(RADIANS(I60))))</f>
        <v>6.0403335295378513</v>
      </c>
      <c r="M60">
        <f>lat(coord!$B$2,coord!$C$2,coord!$D$2)</f>
        <v>45.411171275371856</v>
      </c>
      <c r="N60">
        <f>lon(coord!$B$2,coord!$C$2,coord!$D$2)</f>
        <v>11.896106531717408</v>
      </c>
      <c r="O60" s="7">
        <f t="shared" si="8"/>
        <v>48.059932324992396</v>
      </c>
      <c r="P60">
        <f t="shared" si="9"/>
        <v>-0.13791435745831601</v>
      </c>
      <c r="Q60">
        <f t="shared" si="10"/>
        <v>0.99044415794473728</v>
      </c>
      <c r="R60" s="7">
        <f t="shared" si="11"/>
        <v>3.9689295086841438</v>
      </c>
    </row>
    <row r="61" spans="1:18">
      <c r="A61">
        <f>tetto_ionofree_PR!A61</f>
        <v>14</v>
      </c>
      <c r="B61">
        <f>tetto_ionofree_PR!B61</f>
        <v>0.3666666666666667</v>
      </c>
      <c r="C61">
        <f>tetto_ionofree_PR!C61</f>
        <v>4</v>
      </c>
      <c r="D61">
        <f>tetto_ionofree_PR!D61</f>
        <v>21103286.204109486</v>
      </c>
      <c r="E61">
        <f>tetto!$D61</f>
        <v>21103286.098999999</v>
      </c>
      <c r="F61">
        <f>tetto!$G61</f>
        <v>21103286.030999999</v>
      </c>
      <c r="G61">
        <f>tetto_ionofree_PR!$E61</f>
        <v>55.362363643287459</v>
      </c>
      <c r="H61">
        <f>tetto_ionofree_PR!$L61</f>
        <v>252.16143166802615</v>
      </c>
      <c r="I61">
        <f>DEGREES(ACOS(6378*COS(RADIANS(G61))/(6378+coord!B$18)))</f>
        <v>57.666841780601885</v>
      </c>
      <c r="J61" s="7">
        <f>-(10^-16)*(E61-$D61)*(coord!$B$10*10^6)^2*SIN(RADIANS($I61))/40.3</f>
        <v>0.54696791125403155</v>
      </c>
      <c r="K61">
        <f>-(10^-16)*(F61-$D61)*(coord!$B$11*10^6)^2*SIN(RADIANS($I61))/40.3</f>
        <v>0.54696791590671501</v>
      </c>
      <c r="L61">
        <f>DEGREES(coord!$B$18/(6378*TAN(RADIANS(I61))))</f>
        <v>2.2745258651597928</v>
      </c>
      <c r="M61">
        <f>lat(coord!$B$2,coord!$C$2,coord!$D$2)</f>
        <v>45.411171275371856</v>
      </c>
      <c r="N61">
        <f>lon(coord!$B$2,coord!$C$2,coord!$D$2)</f>
        <v>11.896106531717408</v>
      </c>
      <c r="O61" s="7">
        <f t="shared" si="8"/>
        <v>44.673586837928767</v>
      </c>
      <c r="P61">
        <f t="shared" si="9"/>
        <v>-5.312648046638184E-2</v>
      </c>
      <c r="Q61">
        <f t="shared" si="10"/>
        <v>0.99858779137002029</v>
      </c>
      <c r="R61" s="7">
        <f t="shared" si="11"/>
        <v>8.8507497258775665</v>
      </c>
    </row>
    <row r="62" spans="1:18">
      <c r="A62">
        <f>tetto_ionofree_PR!A62</f>
        <v>14</v>
      </c>
      <c r="B62">
        <f>tetto_ionofree_PR!B62</f>
        <v>0.3666666666666667</v>
      </c>
      <c r="C62">
        <f>tetto_ionofree_PR!C62</f>
        <v>20</v>
      </c>
      <c r="D62">
        <f>tetto_ionofree_PR!D62</f>
        <v>22870164.192389436</v>
      </c>
      <c r="E62">
        <f>tetto!$D62</f>
        <v>22870165.074999999</v>
      </c>
      <c r="F62">
        <f>tetto!$G62</f>
        <v>22870165.646000002</v>
      </c>
      <c r="G62">
        <f>tetto_ionofree_PR!$E62</f>
        <v>28.870119691903611</v>
      </c>
      <c r="H62">
        <f>tetto_ionofree_PR!$L62</f>
        <v>115.15685237280645</v>
      </c>
      <c r="I62">
        <f>DEGREES(ACOS(6378*COS(RADIANS(G62))/(6378+coord!B$18)))</f>
        <v>34.509070283646857</v>
      </c>
      <c r="J62" s="7">
        <f>-(10^-16)*(E62-$D62)*(coord!$B$10*10^6)^2*SIN(RADIANS($I62))/40.3</f>
        <v>-3.0795327557236982</v>
      </c>
      <c r="K62">
        <f>-(10^-16)*(F62-$D62)*(coord!$B$11*10^6)^2*SIN(RADIANS($I62))/40.3</f>
        <v>-3.0795327596675945</v>
      </c>
      <c r="L62">
        <f>DEGREES(coord!$B$18/(6378*TAN(RADIANS(I62))))</f>
        <v>5.2265669782155699</v>
      </c>
      <c r="M62">
        <f>lat(coord!$B$2,coord!$C$2,coord!$D$2)</f>
        <v>45.411171275371856</v>
      </c>
      <c r="N62">
        <f>lon(coord!$B$2,coord!$C$2,coord!$D$2)</f>
        <v>11.896106531717408</v>
      </c>
      <c r="O62" s="7">
        <f t="shared" si="8"/>
        <v>43.00147218224722</v>
      </c>
      <c r="P62">
        <f t="shared" si="9"/>
        <v>0.11274406201157233</v>
      </c>
      <c r="Q62">
        <f t="shared" si="10"/>
        <v>0.99362406194754094</v>
      </c>
      <c r="R62" s="7">
        <f t="shared" si="11"/>
        <v>18.36962956777791</v>
      </c>
    </row>
    <row r="63" spans="1:18">
      <c r="A63">
        <f>tetto_ionofree_PR!A63</f>
        <v>14</v>
      </c>
      <c r="B63">
        <f>tetto_ionofree_PR!B63</f>
        <v>0.3666666666666667</v>
      </c>
      <c r="C63">
        <f>tetto_ionofree_PR!C63</f>
        <v>13</v>
      </c>
      <c r="D63">
        <f>tetto_ionofree_PR!D63</f>
        <v>20100485.859528977</v>
      </c>
      <c r="E63">
        <f>tetto!$D63</f>
        <v>20100482.866999999</v>
      </c>
      <c r="F63">
        <f>tetto!$G63</f>
        <v>20100480.931000002</v>
      </c>
      <c r="G63">
        <f>tetto_ionofree_PR!$E63</f>
        <v>77.90477094018172</v>
      </c>
      <c r="H63">
        <f>tetto_ionofree_PR!$L63</f>
        <v>17.00573056630256</v>
      </c>
      <c r="I63">
        <f>DEGREES(ACOS(6378*COS(RADIANS(G63))/(6378+coord!B$18)))</f>
        <v>78.628399954053606</v>
      </c>
      <c r="J63" s="7">
        <f>-(10^-16)*(E63-$D63)*(coord!$B$10*10^6)^2*SIN(RADIANS($I63))/40.3</f>
        <v>18.068229984425397</v>
      </c>
      <c r="K63">
        <f>-(10^-16)*(F63-$D63)*(coord!$B$11*10^6)^2*SIN(RADIANS($I63))/40.3</f>
        <v>18.068229981963327</v>
      </c>
      <c r="L63">
        <f>DEGREES(coord!$B$18/(6378*TAN(RADIANS(I63))))</f>
        <v>0.7226907501247789</v>
      </c>
      <c r="M63">
        <f>lat(coord!$B$2,coord!$C$2,coord!$D$2)</f>
        <v>45.411171275371856</v>
      </c>
      <c r="N63">
        <f>lon(coord!$B$2,coord!$C$2,coord!$D$2)</f>
        <v>11.896106531717408</v>
      </c>
      <c r="O63" s="7">
        <f t="shared" si="8"/>
        <v>46.101860741611958</v>
      </c>
      <c r="P63">
        <f t="shared" si="9"/>
        <v>5.3201688099414448E-3</v>
      </c>
      <c r="Q63">
        <f t="shared" si="10"/>
        <v>0.99998584780177435</v>
      </c>
      <c r="R63" s="7">
        <f t="shared" si="11"/>
        <v>12.200931188805203</v>
      </c>
    </row>
    <row r="64" spans="1:18">
      <c r="A64">
        <f>tetto_ionofree_PR!A64</f>
        <v>14</v>
      </c>
      <c r="B64">
        <f>tetto_ionofree_PR!B64</f>
        <v>0.3666666666666667</v>
      </c>
      <c r="C64">
        <f>tetto_ionofree_PR!C64</f>
        <v>7</v>
      </c>
      <c r="D64">
        <f>tetto_ionofree_PR!D64</f>
        <v>21996158.438230149</v>
      </c>
      <c r="E64">
        <f>tetto!$D64</f>
        <v>21996156.622000001</v>
      </c>
      <c r="F64">
        <f>tetto!$G64</f>
        <v>21996155.447000001</v>
      </c>
      <c r="G64">
        <f>tetto_ionofree_PR!$E64</f>
        <v>41.579188220055293</v>
      </c>
      <c r="H64">
        <f>tetto_ionofree_PR!$L64</f>
        <v>176.67695874551364</v>
      </c>
      <c r="I64">
        <f>DEGREES(ACOS(6378*COS(RADIANS(G64))/(6378+coord!B$18)))</f>
        <v>45.259732977719338</v>
      </c>
      <c r="J64" s="7">
        <f>-(10^-16)*(E64-$D64)*(coord!$B$10*10^6)^2*SIN(RADIANS($I64))/40.3</f>
        <v>7.9451735749377876</v>
      </c>
      <c r="K64">
        <f>-(10^-16)*(F64-$D64)*(coord!$B$11*10^6)^2*SIN(RADIANS($I64))/40.3</f>
        <v>7.9451735659443781</v>
      </c>
      <c r="L64">
        <f>DEGREES(coord!$B$18/(6378*TAN(RADIANS(I64))))</f>
        <v>3.5609065064510443</v>
      </c>
      <c r="M64">
        <f>lat(coord!$B$2,coord!$C$2,coord!$D$2)</f>
        <v>45.411171275371856</v>
      </c>
      <c r="N64">
        <f>lon(coord!$B$2,coord!$C$2,coord!$D$2)</f>
        <v>11.896106531717408</v>
      </c>
      <c r="O64" s="7">
        <f t="shared" si="8"/>
        <v>41.855904102093398</v>
      </c>
      <c r="P64">
        <f t="shared" si="9"/>
        <v>4.833631019459942E-3</v>
      </c>
      <c r="Q64">
        <f t="shared" si="10"/>
        <v>0.99998831793734866</v>
      </c>
      <c r="R64" s="7">
        <f t="shared" si="11"/>
        <v>12.173054267297086</v>
      </c>
    </row>
    <row r="66" spans="1:18">
      <c r="A66">
        <f>tetto_ionofree_PR!A66</f>
        <v>16</v>
      </c>
      <c r="B66">
        <f>tetto_ionofree_PR!B66</f>
        <v>0.3833333333333333</v>
      </c>
      <c r="C66">
        <f>tetto_ionofree_PR!C66</f>
        <v>2</v>
      </c>
      <c r="D66">
        <f>tetto_ionofree_PR!D66</f>
        <v>22704797.911939025</v>
      </c>
      <c r="E66">
        <f>tetto!$D66</f>
        <v>22704793.114</v>
      </c>
      <c r="F66">
        <f>tetto!$G66</f>
        <v>22704790.010000002</v>
      </c>
      <c r="G66">
        <f>tetto_ionofree_PR!$E66</f>
        <v>29.364233075868981</v>
      </c>
      <c r="H66">
        <f>tetto_ionofree_PR!$L66</f>
        <v>-52.12916880859575</v>
      </c>
      <c r="I66">
        <f>DEGREES(ACOS(6378*COS(RADIANS(G66))/(6378+coord!B$18)))</f>
        <v>34.906415946380321</v>
      </c>
      <c r="J66" s="7">
        <f>-(10^-16)*(E66-$D66)*(coord!$B$10*10^6)^2*SIN(RADIANS($I66))/40.3</f>
        <v>16.909036491141869</v>
      </c>
      <c r="K66">
        <f>-(10^-16)*(F66-$D66)*(coord!$B$11*10^6)^2*SIN(RADIANS($I66))/40.3</f>
        <v>16.909036494352652</v>
      </c>
      <c r="L66">
        <f>DEGREES(coord!$B$18/(6378*TAN(RADIANS(I66))))</f>
        <v>5.1497006822242763</v>
      </c>
      <c r="M66">
        <f>lat(coord!$B$2,coord!$C$2,coord!$D$2)</f>
        <v>45.411171275371856</v>
      </c>
      <c r="N66">
        <f>lon(coord!$B$2,coord!$C$2,coord!$D$2)</f>
        <v>11.896106531717408</v>
      </c>
      <c r="O66" s="7">
        <f t="shared" si="8"/>
        <v>48.414847209510782</v>
      </c>
      <c r="P66">
        <f t="shared" si="9"/>
        <v>-0.10675218145011665</v>
      </c>
      <c r="Q66">
        <f t="shared" si="10"/>
        <v>0.99428565903146859</v>
      </c>
      <c r="R66" s="7">
        <f t="shared" si="11"/>
        <v>5.7679798929135275</v>
      </c>
    </row>
    <row r="67" spans="1:18">
      <c r="A67">
        <f>tetto_ionofree_PR!A67</f>
        <v>16</v>
      </c>
      <c r="B67">
        <f>tetto_ionofree_PR!B67</f>
        <v>0.3833333333333333</v>
      </c>
      <c r="C67">
        <f>tetto_ionofree_PR!C67</f>
        <v>23</v>
      </c>
      <c r="D67">
        <f>tetto_ionofree_PR!D67</f>
        <v>21016981.792885356</v>
      </c>
      <c r="E67">
        <f>tetto!$D67</f>
        <v>21016976.27</v>
      </c>
      <c r="F67">
        <f>tetto!$G67</f>
        <v>21016972.697000001</v>
      </c>
      <c r="G67">
        <f>tetto_ionofree_PR!$E67</f>
        <v>53.338854171212063</v>
      </c>
      <c r="H67">
        <f>tetto_ionofree_PR!$L67</f>
        <v>55.545829589834661</v>
      </c>
      <c r="I67">
        <f>DEGREES(ACOS(6378*COS(RADIANS(G67))/(6378+coord!B$18)))</f>
        <v>55.816520992654482</v>
      </c>
      <c r="J67" s="7">
        <f>-(10^-16)*(E67-$D67)*(coord!$B$10*10^6)^2*SIN(RADIANS($I67))/40.3</f>
        <v>28.137570074513288</v>
      </c>
      <c r="K67">
        <f>-(10^-16)*(F67-$D67)*(coord!$B$11*10^6)^2*SIN(RADIANS($I67))/40.3</f>
        <v>28.137570076046607</v>
      </c>
      <c r="L67">
        <f>DEGREES(coord!$B$18/(6378*TAN(RADIANS(I67))))</f>
        <v>2.4405158344482039</v>
      </c>
      <c r="M67">
        <f>lat(coord!$B$2,coord!$C$2,coord!$D$2)</f>
        <v>45.411171275371856</v>
      </c>
      <c r="N67">
        <f>lon(coord!$B$2,coord!$C$2,coord!$D$2)</f>
        <v>11.896106531717408</v>
      </c>
      <c r="O67" s="7">
        <f t="shared" si="8"/>
        <v>46.75485360277964</v>
      </c>
      <c r="P67">
        <f t="shared" si="9"/>
        <v>5.1249833879181972E-2</v>
      </c>
      <c r="Q67">
        <f t="shared" si="10"/>
        <v>0.99868586378668445</v>
      </c>
      <c r="R67" s="7">
        <f t="shared" si="11"/>
        <v>14.833792666426257</v>
      </c>
    </row>
    <row r="68" spans="1:18">
      <c r="A68">
        <f>tetto_ionofree_PR!A68</f>
        <v>16</v>
      </c>
      <c r="B68">
        <f>tetto_ionofree_PR!B68</f>
        <v>0.3833333333333333</v>
      </c>
      <c r="C68">
        <f>tetto_ionofree_PR!C68</f>
        <v>10</v>
      </c>
      <c r="D68">
        <f>tetto_ionofree_PR!D68</f>
        <v>23064886.905468874</v>
      </c>
      <c r="E68">
        <f>tetto!$D68</f>
        <v>23064887.853</v>
      </c>
      <c r="F68">
        <f>tetto!$G68</f>
        <v>23064888.465999998</v>
      </c>
      <c r="G68">
        <f>tetto_ionofree_PR!$E68</f>
        <v>24.424905393029647</v>
      </c>
      <c r="H68">
        <f>tetto_ionofree_PR!$L68</f>
        <v>-60.982931520735804</v>
      </c>
      <c r="I68">
        <f>DEGREES(ACOS(6378*COS(RADIANS(G68))/(6378+coord!B$18)))</f>
        <v>31.044046883096144</v>
      </c>
      <c r="J68" s="7">
        <f>-(10^-16)*(E68-$D68)*(coord!$B$10*10^6)^2*SIN(RADIANS($I68))/40.3</f>
        <v>-3.0093704584863037</v>
      </c>
      <c r="K68">
        <f>-(10^-16)*(F68-$D68)*(coord!$B$11*10^6)^2*SIN(RADIANS($I68))/40.3</f>
        <v>-3.0093704581869725</v>
      </c>
      <c r="L68">
        <f>DEGREES(coord!$B$18/(6378*TAN(RADIANS(I68))))</f>
        <v>5.9699186779800728</v>
      </c>
      <c r="M68">
        <f>lat(coord!$B$2,coord!$C$2,coord!$D$2)</f>
        <v>45.411171275371856</v>
      </c>
      <c r="N68">
        <f>lon(coord!$B$2,coord!$C$2,coord!$D$2)</f>
        <v>11.896106531717408</v>
      </c>
      <c r="O68" s="7">
        <f t="shared" si="8"/>
        <v>48.049058435307508</v>
      </c>
      <c r="P68">
        <f t="shared" si="9"/>
        <v>-0.13605347643321036</v>
      </c>
      <c r="Q68">
        <f t="shared" si="10"/>
        <v>0.99070149467457547</v>
      </c>
      <c r="R68" s="7">
        <f t="shared" si="11"/>
        <v>4.076564802855791</v>
      </c>
    </row>
    <row r="69" spans="1:18">
      <c r="A69">
        <f>tetto_ionofree_PR!A69</f>
        <v>16</v>
      </c>
      <c r="B69">
        <f>tetto_ionofree_PR!B69</f>
        <v>0.3833333333333333</v>
      </c>
      <c r="C69">
        <f>tetto_ionofree_PR!C69</f>
        <v>4</v>
      </c>
      <c r="D69">
        <f>tetto_ionofree_PR!D69</f>
        <v>21112331.473295402</v>
      </c>
      <c r="E69">
        <f>tetto!$D69</f>
        <v>21112331.344999999</v>
      </c>
      <c r="F69">
        <f>tetto!$G69</f>
        <v>21112331.261999998</v>
      </c>
      <c r="G69">
        <f>tetto_ionofree_PR!$E69</f>
        <v>55.224867490814631</v>
      </c>
      <c r="H69">
        <f>tetto_ionofree_PR!$L69</f>
        <v>251.35121920192725</v>
      </c>
      <c r="I69">
        <f>DEGREES(ACOS(6378*COS(RADIANS(G69))/(6378+coord!B$18)))</f>
        <v>57.54087437963684</v>
      </c>
      <c r="J69" s="7">
        <f>-(10^-16)*(E69-$D69)*(coord!$B$10*10^6)^2*SIN(RADIANS($I69))/40.3</f>
        <v>0.66669189176648713</v>
      </c>
      <c r="K69">
        <f>-(10^-16)*(F69-$D69)*(coord!$B$11*10^6)^2*SIN(RADIANS($I69))/40.3</f>
        <v>0.66669189922717642</v>
      </c>
      <c r="L69">
        <f>DEGREES(coord!$B$18/(6378*TAN(RADIANS(I69))))</f>
        <v>2.2856067543014911</v>
      </c>
      <c r="M69">
        <f>lat(coord!$B$2,coord!$C$2,coord!$D$2)</f>
        <v>45.411171275371856</v>
      </c>
      <c r="N69">
        <f>lon(coord!$B$2,coord!$C$2,coord!$D$2)</f>
        <v>11.896106531717408</v>
      </c>
      <c r="O69" s="7">
        <f t="shared" si="8"/>
        <v>44.639512675917523</v>
      </c>
      <c r="P69">
        <f t="shared" si="9"/>
        <v>-5.310568053004977E-2</v>
      </c>
      <c r="Q69">
        <f t="shared" si="10"/>
        <v>0.99858889774293003</v>
      </c>
      <c r="R69" s="7">
        <f t="shared" si="11"/>
        <v>8.8519431591600792</v>
      </c>
    </row>
    <row r="70" spans="1:18">
      <c r="A70">
        <f>tetto_ionofree_PR!A70</f>
        <v>16</v>
      </c>
      <c r="B70">
        <f>tetto_ionofree_PR!B70</f>
        <v>0.3833333333333333</v>
      </c>
      <c r="C70">
        <f>tetto_ionofree_PR!C70</f>
        <v>20</v>
      </c>
      <c r="D70">
        <f>tetto_ionofree_PR!D70</f>
        <v>22904390.662914127</v>
      </c>
      <c r="E70">
        <f>tetto!$D70</f>
        <v>22904391.662999999</v>
      </c>
      <c r="F70">
        <f>tetto!$G70</f>
        <v>22904392.309999999</v>
      </c>
      <c r="G70">
        <f>tetto_ionofree_PR!$E70</f>
        <v>28.484026529468984</v>
      </c>
      <c r="H70">
        <f>tetto_ionofree_PR!$L70</f>
        <v>115.43970468198323</v>
      </c>
      <c r="I70">
        <f>DEGREES(ACOS(6378*COS(RADIANS(G70))/(6378+coord!B$18)))</f>
        <v>34.200125725918177</v>
      </c>
      <c r="J70" s="7">
        <f>-(10^-16)*(E70-$D70)*(coord!$B$10*10^6)^2*SIN(RADIANS($I70))/40.3</f>
        <v>-3.4620002872734563</v>
      </c>
      <c r="K70">
        <f>-(10^-16)*(F70-$D70)*(coord!$B$11*10^6)^2*SIN(RADIANS($I70))/40.3</f>
        <v>-3.462000289876987</v>
      </c>
      <c r="L70">
        <f>DEGREES(coord!$B$18/(6378*TAN(RADIANS(I70))))</f>
        <v>5.2874118152777179</v>
      </c>
      <c r="M70">
        <f>lat(coord!$B$2,coord!$C$2,coord!$D$2)</f>
        <v>45.411171275371856</v>
      </c>
      <c r="N70">
        <f>lon(coord!$B$2,coord!$C$2,coord!$D$2)</f>
        <v>11.896106531717408</v>
      </c>
      <c r="O70" s="7">
        <f t="shared" si="8"/>
        <v>42.948721919425033</v>
      </c>
      <c r="P70">
        <f t="shared" si="9"/>
        <v>0.11368947722285147</v>
      </c>
      <c r="Q70">
        <f t="shared" si="10"/>
        <v>0.99351633241169968</v>
      </c>
      <c r="R70" s="7">
        <f t="shared" si="11"/>
        <v>18.424148410593908</v>
      </c>
    </row>
    <row r="71" spans="1:18">
      <c r="A71">
        <f>tetto_ionofree_PR!A71</f>
        <v>16</v>
      </c>
      <c r="B71">
        <f>tetto_ionofree_PR!B71</f>
        <v>0.3833333333333333</v>
      </c>
      <c r="C71">
        <f>tetto_ionofree_PR!C71</f>
        <v>13</v>
      </c>
      <c r="D71">
        <f>tetto_ionofree_PR!D71</f>
        <v>20106944.837001283</v>
      </c>
      <c r="E71">
        <f>tetto!$D71</f>
        <v>20106941.743999999</v>
      </c>
      <c r="F71">
        <f>tetto!$G71</f>
        <v>20106939.743000001</v>
      </c>
      <c r="G71">
        <f>tetto_ionofree_PR!$E71</f>
        <v>77.524657983823346</v>
      </c>
      <c r="H71">
        <f>tetto_ionofree_PR!$L71</f>
        <v>18.440811849030695</v>
      </c>
      <c r="I71">
        <f>DEGREES(ACOS(6378*COS(RADIANS(G71))/(6378+coord!B$18)))</f>
        <v>78.271686771673231</v>
      </c>
      <c r="J71" s="7">
        <f>-(10^-16)*(E71-$D71)*(coord!$B$10*10^6)^2*SIN(RADIANS($I71))/40.3</f>
        <v>18.651114396482257</v>
      </c>
      <c r="K71">
        <f>-(10^-16)*(F71-$D71)*(coord!$B$11*10^6)^2*SIN(RADIANS($I71))/40.3</f>
        <v>18.651114400687842</v>
      </c>
      <c r="L71">
        <f>DEGREES(coord!$B$18/(6378*TAN(RADIANS(I71))))</f>
        <v>0.74599661504335091</v>
      </c>
      <c r="M71">
        <f>lat(coord!$B$2,coord!$C$2,coord!$D$2)</f>
        <v>45.411171275371856</v>
      </c>
      <c r="N71">
        <f>lon(coord!$B$2,coord!$C$2,coord!$D$2)</f>
        <v>11.896106531717408</v>
      </c>
      <c r="O71" s="7">
        <f t="shared" si="8"/>
        <v>46.118360385774956</v>
      </c>
      <c r="P71">
        <f t="shared" si="9"/>
        <v>5.9414840605752578E-3</v>
      </c>
      <c r="Q71">
        <f t="shared" si="10"/>
        <v>0.99998234922780405</v>
      </c>
      <c r="R71" s="7">
        <f t="shared" si="11"/>
        <v>12.236530495350255</v>
      </c>
    </row>
    <row r="72" spans="1:18">
      <c r="A72">
        <f>tetto_ionofree_PR!A72</f>
        <v>16</v>
      </c>
      <c r="B72">
        <f>tetto_ionofree_PR!B72</f>
        <v>0.3833333333333333</v>
      </c>
      <c r="C72">
        <f>tetto_ionofree_PR!C72</f>
        <v>7</v>
      </c>
      <c r="D72">
        <f>tetto_ionofree_PR!D72</f>
        <v>21962167.405225411</v>
      </c>
      <c r="E72">
        <f>tetto!$D72</f>
        <v>21962166.129999999</v>
      </c>
      <c r="F72">
        <f>tetto!$G72</f>
        <v>21962165.305</v>
      </c>
      <c r="G72">
        <f>tetto_ionofree_PR!$E72</f>
        <v>42.065812176442982</v>
      </c>
      <c r="H72">
        <f>tetto_ionofree_PR!$L72</f>
        <v>176.59306131926078</v>
      </c>
      <c r="I72">
        <f>DEGREES(ACOS(6378*COS(RADIANS(G72))/(6378+coord!B$18)))</f>
        <v>45.688025730400959</v>
      </c>
      <c r="J72" s="7">
        <f>-(10^-16)*(E72-$D72)*(coord!$B$10*10^6)^2*SIN(RADIANS($I72))/40.3</f>
        <v>5.61969361633468</v>
      </c>
      <c r="K72">
        <f>-(10^-16)*(F72-$D72)*(coord!$B$11*10^6)^2*SIN(RADIANS($I72))/40.3</f>
        <v>5.6196936256519656</v>
      </c>
      <c r="L72">
        <f>DEGREES(coord!$B$18/(6378*TAN(RADIANS(I72))))</f>
        <v>3.5080584166692717</v>
      </c>
      <c r="M72">
        <f>lat(coord!$B$2,coord!$C$2,coord!$D$2)</f>
        <v>45.411171275371856</v>
      </c>
      <c r="N72">
        <f>lon(coord!$B$2,coord!$C$2,coord!$D$2)</f>
        <v>11.896106531717408</v>
      </c>
      <c r="O72" s="7">
        <f t="shared" si="8"/>
        <v>41.908957435131803</v>
      </c>
      <c r="P72">
        <f t="shared" si="9"/>
        <v>4.8861264958710588E-3</v>
      </c>
      <c r="Q72">
        <f t="shared" si="10"/>
        <v>0.99998806281268493</v>
      </c>
      <c r="R72" s="7">
        <f t="shared" si="11"/>
        <v>12.176062072059327</v>
      </c>
    </row>
    <row r="74" spans="1:18">
      <c r="A74">
        <f>tetto_ionofree_PR!A74</f>
        <v>18</v>
      </c>
      <c r="B74">
        <f>tetto_ionofree_PR!B74</f>
        <v>0.4</v>
      </c>
      <c r="C74">
        <f>tetto_ionofree_PR!C74</f>
        <v>2</v>
      </c>
      <c r="D74">
        <f>tetto_ionofree_PR!D74</f>
        <v>22677844.5919751</v>
      </c>
      <c r="E74">
        <f>tetto!$D74</f>
        <v>22677839.59</v>
      </c>
      <c r="F74">
        <f>tetto!$G74</f>
        <v>22677836.353999998</v>
      </c>
      <c r="G74">
        <f>tetto_ionofree_PR!$E74</f>
        <v>29.655537549388377</v>
      </c>
      <c r="H74">
        <f>tetto_ionofree_PR!$L74</f>
        <v>-52.462613880076191</v>
      </c>
      <c r="I74">
        <f>DEGREES(ACOS(6378*COS(RADIANS(G74))/(6378+coord!B$18)))</f>
        <v>35.14167680876885</v>
      </c>
      <c r="J74" s="7">
        <f>-(10^-16)*(E74-$D74)*(coord!$B$10*10^6)^2*SIN(RADIANS($I74))/40.3</f>
        <v>17.731690395658877</v>
      </c>
      <c r="K74">
        <f>-(10^-16)*(F74-$D74)*(coord!$B$11*10^6)^2*SIN(RADIANS($I74))/40.3</f>
        <v>17.731690393335754</v>
      </c>
      <c r="L74">
        <f>DEGREES(coord!$B$18/(6378*TAN(RADIANS(I74))))</f>
        <v>5.1049059942822304</v>
      </c>
      <c r="M74">
        <f>lat(coord!$B$2,coord!$C$2,coord!$D$2)</f>
        <v>45.411171275371856</v>
      </c>
      <c r="N74">
        <f>lon(coord!$B$2,coord!$C$2,coord!$D$2)</f>
        <v>11.896106531717408</v>
      </c>
      <c r="O74" s="7">
        <f t="shared" si="8"/>
        <v>48.365370251131246</v>
      </c>
      <c r="P74">
        <f t="shared" si="9"/>
        <v>-0.10619990901886213</v>
      </c>
      <c r="Q74">
        <f t="shared" si="10"/>
        <v>0.99434479901309147</v>
      </c>
      <c r="R74" s="7">
        <f t="shared" si="11"/>
        <v>5.7998036825078332</v>
      </c>
    </row>
    <row r="75" spans="1:18">
      <c r="A75">
        <f>tetto_ionofree_PR!A75</f>
        <v>18</v>
      </c>
      <c r="B75">
        <f>tetto_ionofree_PR!B75</f>
        <v>0.4</v>
      </c>
      <c r="C75">
        <f>tetto_ionofree_PR!C75</f>
        <v>23</v>
      </c>
      <c r="D75">
        <f>tetto_ionofree_PR!D75</f>
        <v>21038387.208936453</v>
      </c>
      <c r="E75">
        <f>tetto!$D75</f>
        <v>21038381.397</v>
      </c>
      <c r="F75">
        <f>tetto!$G75</f>
        <v>21038377.636999998</v>
      </c>
      <c r="G75">
        <f>tetto_ionofree_PR!$E75</f>
        <v>52.912646593120314</v>
      </c>
      <c r="H75">
        <f>tetto_ionofree_PR!$L75</f>
        <v>55.791859351144531</v>
      </c>
      <c r="I75">
        <f>DEGREES(ACOS(6378*COS(RADIANS(G75))/(6378+coord!B$18)))</f>
        <v>55.427797720723163</v>
      </c>
      <c r="J75" s="7">
        <f>-(10^-16)*(E75-$D75)*(coord!$B$10*10^6)^2*SIN(RADIANS($I75))/40.3</f>
        <v>29.473084516005642</v>
      </c>
      <c r="K75">
        <f>-(10^-16)*(F75-$D75)*(coord!$B$11*10^6)^2*SIN(RADIANS($I75))/40.3</f>
        <v>29.473084521906628</v>
      </c>
      <c r="L75">
        <f>DEGREES(coord!$B$18/(6378*TAN(RADIANS(I75))))</f>
        <v>2.4763059185150964</v>
      </c>
      <c r="M75">
        <f>lat(coord!$B$2,coord!$C$2,coord!$D$2)</f>
        <v>45.411171275371856</v>
      </c>
      <c r="N75">
        <f>lon(coord!$B$2,coord!$C$2,coord!$D$2)</f>
        <v>11.896106531717408</v>
      </c>
      <c r="O75" s="7">
        <f t="shared" si="8"/>
        <v>46.764992444180237</v>
      </c>
      <c r="P75">
        <f t="shared" si="9"/>
        <v>5.2163484031441026E-2</v>
      </c>
      <c r="Q75">
        <f t="shared" si="10"/>
        <v>0.99863855870565188</v>
      </c>
      <c r="R75" s="7">
        <f t="shared" si="11"/>
        <v>14.886211085222076</v>
      </c>
    </row>
    <row r="76" spans="1:18">
      <c r="A76">
        <f>tetto_ionofree_PR!A76</f>
        <v>18</v>
      </c>
      <c r="B76">
        <f>tetto_ionofree_PR!B76</f>
        <v>0.4</v>
      </c>
      <c r="C76">
        <f>tetto_ionofree_PR!C76</f>
        <v>10</v>
      </c>
      <c r="D76">
        <f>tetto_ionofree_PR!D76</f>
        <v>23029921.785151139</v>
      </c>
      <c r="E76">
        <f>tetto!$D76</f>
        <v>23029922.473000001</v>
      </c>
      <c r="F76">
        <f>tetto!$G76</f>
        <v>23029922.918000001</v>
      </c>
      <c r="G76">
        <f>tetto_ionofree_PR!$E76</f>
        <v>24.819549478753146</v>
      </c>
      <c r="H76">
        <f>tetto_ionofree_PR!$L76</f>
        <v>-60.809348500489733</v>
      </c>
      <c r="I76">
        <f>DEGREES(ACOS(6378*COS(RADIANS(G76))/(6378+coord!B$18)))</f>
        <v>31.342772489273866</v>
      </c>
      <c r="J76" s="7">
        <f>-(10^-16)*(E76-$D76)*(coord!$B$10*10^6)^2*SIN(RADIANS($I76))/40.3</f>
        <v>-2.2035098621556122</v>
      </c>
      <c r="K76">
        <f>-(10^-16)*(F76-$D76)*(coord!$B$11*10^6)^2*SIN(RADIANS($I76))/40.3</f>
        <v>-2.2035098626245944</v>
      </c>
      <c r="L76">
        <f>DEGREES(coord!$B$18/(6378*TAN(RADIANS(I76))))</f>
        <v>5.9000766015597836</v>
      </c>
      <c r="M76">
        <f>lat(coord!$B$2,coord!$C$2,coord!$D$2)</f>
        <v>45.411171275371856</v>
      </c>
      <c r="N76">
        <f>lon(coord!$B$2,coord!$C$2,coord!$D$2)</f>
        <v>11.896106531717408</v>
      </c>
      <c r="O76" s="7">
        <f t="shared" si="8"/>
        <v>48.037738856491664</v>
      </c>
      <c r="P76">
        <f t="shared" si="9"/>
        <v>-0.13421136311483647</v>
      </c>
      <c r="Q76">
        <f t="shared" si="10"/>
        <v>0.99095272844412596</v>
      </c>
      <c r="R76" s="7">
        <f t="shared" si="11"/>
        <v>4.1830872091311884</v>
      </c>
    </row>
    <row r="77" spans="1:18">
      <c r="A77">
        <f>tetto_ionofree_PR!A77</f>
        <v>18</v>
      </c>
      <c r="B77">
        <f>tetto_ionofree_PR!B77</f>
        <v>0.4</v>
      </c>
      <c r="C77">
        <f>tetto_ionofree_PR!C77</f>
        <v>4</v>
      </c>
      <c r="D77">
        <f>tetto_ionofree_PR!D77</f>
        <v>21121816.819501068</v>
      </c>
      <c r="E77">
        <f>tetto!$D77</f>
        <v>21121816.041999999</v>
      </c>
      <c r="F77">
        <f>tetto!$G77</f>
        <v>21121815.539000001</v>
      </c>
      <c r="G77">
        <f>tetto_ionofree_PR!$E77</f>
        <v>55.079202108944351</v>
      </c>
      <c r="H77">
        <f>tetto_ionofree_PR!$L77</f>
        <v>250.54781226532447</v>
      </c>
      <c r="I77">
        <f>DEGREES(ACOS(6378*COS(RADIANS(G77))/(6378+coord!B$18)))</f>
        <v>57.407459562790187</v>
      </c>
      <c r="J77" s="7">
        <f>-(10^-16)*(E77-$D77)*(coord!$B$10*10^6)^2*SIN(RADIANS($I77))/40.3</f>
        <v>4.0343185147312521</v>
      </c>
      <c r="K77">
        <f>-(10^-16)*(F77-$D77)*(coord!$B$11*10^6)^2*SIN(RADIANS($I77))/40.3</f>
        <v>4.0343185194064173</v>
      </c>
      <c r="L77">
        <f>DEGREES(coord!$B$18/(6378*TAN(RADIANS(I77))))</f>
        <v>2.2973766118770755</v>
      </c>
      <c r="M77">
        <f>lat(coord!$B$2,coord!$C$2,coord!$D$2)</f>
        <v>45.411171275371856</v>
      </c>
      <c r="N77">
        <f>lon(coord!$B$2,coord!$C$2,coord!$D$2)</f>
        <v>11.896106531717408</v>
      </c>
      <c r="O77" s="7">
        <f t="shared" si="8"/>
        <v>44.605307804164511</v>
      </c>
      <c r="P77">
        <f t="shared" si="9"/>
        <v>-5.3089874598437829E-2</v>
      </c>
      <c r="Q77">
        <f t="shared" si="10"/>
        <v>0.99858973818837227</v>
      </c>
      <c r="R77" s="7">
        <f t="shared" si="11"/>
        <v>8.8528500516696678</v>
      </c>
    </row>
    <row r="78" spans="1:18">
      <c r="A78">
        <f>tetto_ionofree_PR!A78</f>
        <v>18</v>
      </c>
      <c r="B78">
        <f>tetto_ionofree_PR!B78</f>
        <v>0.4</v>
      </c>
      <c r="C78">
        <f>tetto_ionofree_PR!C78</f>
        <v>20</v>
      </c>
      <c r="D78">
        <f>tetto_ionofree_PR!D78</f>
        <v>22938779.295885794</v>
      </c>
      <c r="E78">
        <f>tetto!$D78</f>
        <v>22938779.942000002</v>
      </c>
      <c r="F78">
        <f>tetto!$G78</f>
        <v>22938780.359999999</v>
      </c>
      <c r="G78">
        <f>tetto_ionofree_PR!$E78</f>
        <v>28.098110087903869</v>
      </c>
      <c r="H78">
        <f>tetto_ionofree_PR!$L78</f>
        <v>115.72080031137878</v>
      </c>
      <c r="I78">
        <f>DEGREES(ACOS(6378*COS(RADIANS(G78))/(6378+coord!B$18)))</f>
        <v>33.892709697229201</v>
      </c>
      <c r="J78" s="7">
        <f>-(10^-16)*(E78-$D78)*(coord!$B$10*10^6)^2*SIN(RADIANS($I78))/40.3</f>
        <v>-2.2189651344711008</v>
      </c>
      <c r="K78">
        <f>-(10^-16)*(F78-$D78)*(coord!$B$11*10^6)^2*SIN(RADIANS($I78))/40.3</f>
        <v>-2.2189651355543374</v>
      </c>
      <c r="L78">
        <f>DEGREES(coord!$B$18/(6378*TAN(RADIANS(I78))))</f>
        <v>5.3489216034780629</v>
      </c>
      <c r="M78">
        <f>lat(coord!$B$2,coord!$C$2,coord!$D$2)</f>
        <v>45.411171275371856</v>
      </c>
      <c r="N78">
        <f>lon(coord!$B$2,coord!$C$2,coord!$D$2)</f>
        <v>11.896106531717408</v>
      </c>
      <c r="O78" s="7">
        <f t="shared" si="8"/>
        <v>42.895297833784376</v>
      </c>
      <c r="P78">
        <f t="shared" si="9"/>
        <v>0.11463900187539075</v>
      </c>
      <c r="Q78">
        <f t="shared" si="10"/>
        <v>0.99340721723219561</v>
      </c>
      <c r="R78" s="7">
        <f t="shared" si="11"/>
        <v>18.478910206539577</v>
      </c>
    </row>
    <row r="79" spans="1:18">
      <c r="A79">
        <f>tetto_ionofree_PR!A79</f>
        <v>18</v>
      </c>
      <c r="B79">
        <f>tetto_ionofree_PR!B79</f>
        <v>0.4</v>
      </c>
      <c r="C79">
        <f>tetto_ionofree_PR!C79</f>
        <v>13</v>
      </c>
      <c r="D79">
        <f>tetto_ionofree_PR!D79</f>
        <v>20113706.617157146</v>
      </c>
      <c r="E79">
        <f>tetto!$D79</f>
        <v>20113703.671</v>
      </c>
      <c r="F79">
        <f>tetto!$G79</f>
        <v>20113701.765000001</v>
      </c>
      <c r="G79">
        <f>tetto_ionofree_PR!$E79</f>
        <v>77.140196233380692</v>
      </c>
      <c r="H79">
        <f>tetto_ionofree_PR!$L79</f>
        <v>19.804369090742668</v>
      </c>
      <c r="I79">
        <f>DEGREES(ACOS(6378*COS(RADIANS(G79))/(6378+coord!B$18)))</f>
        <v>77.91095614773981</v>
      </c>
      <c r="J79" s="7">
        <f>-(10^-16)*(E79-$D79)*(coord!$B$10*10^6)^2*SIN(RADIANS($I79))/40.3</f>
        <v>17.742056328171</v>
      </c>
      <c r="K79">
        <f>-(10^-16)*(F79-$D79)*(coord!$B$11*10^6)^2*SIN(RADIANS($I79))/40.3</f>
        <v>17.742056332813704</v>
      </c>
      <c r="L79">
        <f>DEGREES(coord!$B$18/(6378*TAN(RADIANS(I79))))</f>
        <v>0.76962631542632143</v>
      </c>
      <c r="M79">
        <f>lat(coord!$B$2,coord!$C$2,coord!$D$2)</f>
        <v>45.411171275371856</v>
      </c>
      <c r="N79">
        <f>lon(coord!$B$2,coord!$C$2,coord!$D$2)</f>
        <v>11.896106531717408</v>
      </c>
      <c r="O79" s="7">
        <f t="shared" si="8"/>
        <v>46.13466567604037</v>
      </c>
      <c r="P79">
        <f t="shared" si="9"/>
        <v>6.5673209443116625E-3</v>
      </c>
      <c r="Q79">
        <f t="shared" si="10"/>
        <v>0.99997843491528071</v>
      </c>
      <c r="R79" s="7">
        <f t="shared" si="11"/>
        <v>12.272389009392729</v>
      </c>
    </row>
    <row r="80" spans="1:18">
      <c r="A80">
        <f>tetto_ionofree_PR!A80</f>
        <v>18</v>
      </c>
      <c r="B80">
        <f>tetto_ionofree_PR!B80</f>
        <v>0.4</v>
      </c>
      <c r="C80">
        <f>tetto_ionofree_PR!C80</f>
        <v>7</v>
      </c>
      <c r="D80">
        <f>tetto_ionofree_PR!D80</f>
        <v>21928448.796135254</v>
      </c>
      <c r="E80">
        <f>tetto!$D80</f>
        <v>21928448.030999999</v>
      </c>
      <c r="F80">
        <f>tetto!$G80</f>
        <v>21928447.535999998</v>
      </c>
      <c r="G80">
        <f>tetto_ionofree_PR!$E80</f>
        <v>42.552994273685911</v>
      </c>
      <c r="H80">
        <f>tetto_ionofree_PR!$L80</f>
        <v>176.50683436220541</v>
      </c>
      <c r="I80">
        <f>DEGREES(ACOS(6378*COS(RADIANS(G80))/(6378+coord!B$18)))</f>
        <v>46.117714029018849</v>
      </c>
      <c r="J80" s="7">
        <f>-(10^-16)*(E80-$D80)*(coord!$B$10*10^6)^2*SIN(RADIANS($I80))/40.3</f>
        <v>3.3964078785431999</v>
      </c>
      <c r="K80">
        <f>-(10^-16)*(F80-$D80)*(coord!$B$11*10^6)^2*SIN(RADIANS($I80))/40.3</f>
        <v>3.3964078751990976</v>
      </c>
      <c r="L80">
        <f>DEGREES(coord!$B$18/(6378*TAN(RADIANS(I80))))</f>
        <v>3.4558076157483293</v>
      </c>
      <c r="M80">
        <f>lat(coord!$B$2,coord!$C$2,coord!$D$2)</f>
        <v>45.411171275371856</v>
      </c>
      <c r="N80">
        <f>lon(coord!$B$2,coord!$C$2,coord!$D$2)</f>
        <v>11.896106531717408</v>
      </c>
      <c r="O80" s="7">
        <f t="shared" si="8"/>
        <v>41.961421299614727</v>
      </c>
      <c r="P80">
        <f t="shared" si="9"/>
        <v>4.9391755419082098E-3</v>
      </c>
      <c r="Q80">
        <f t="shared" si="10"/>
        <v>0.99998780219808991</v>
      </c>
      <c r="R80" s="7">
        <f t="shared" si="11"/>
        <v>12.179101595183166</v>
      </c>
    </row>
    <row r="82" spans="1:18">
      <c r="A82">
        <f>tetto_ionofree_PR!A82</f>
        <v>24</v>
      </c>
      <c r="B82">
        <f>tetto_ionofree_PR!B82</f>
        <v>0.45</v>
      </c>
      <c r="C82">
        <f>tetto_ionofree_PR!C82</f>
        <v>2</v>
      </c>
      <c r="D82">
        <f>tetto_ionofree_PR!D82</f>
        <v>22599119.464976378</v>
      </c>
      <c r="E82">
        <f>tetto!$D82</f>
        <v>22599114.969999999</v>
      </c>
      <c r="F82">
        <f>tetto!$G82</f>
        <v>22599112.061999999</v>
      </c>
      <c r="G82">
        <f>tetto_ionofree_PR!$E82</f>
        <v>30.511712563584808</v>
      </c>
      <c r="H82">
        <f>tetto_ionofree_PR!$L82</f>
        <v>-53.497647123183214</v>
      </c>
      <c r="I82">
        <f>DEGREES(ACOS(6378*COS(RADIANS(G82))/(6378+coord!B$18)))</f>
        <v>35.837290166806433</v>
      </c>
      <c r="J82" s="7">
        <f>-(10^-16)*(E82-$D82)*(coord!$B$10*10^6)^2*SIN(RADIANS($I82))/40.3</f>
        <v>16.20806471054194</v>
      </c>
      <c r="K82">
        <f>-(10^-16)*(F82-$D82)*(coord!$B$11*10^6)^2*SIN(RADIANS($I82))/40.3</f>
        <v>16.208064718276685</v>
      </c>
      <c r="L82">
        <f>DEGREES(coord!$B$18/(6378*TAN(RADIANS(I82))))</f>
        <v>4.9754578931099864</v>
      </c>
      <c r="M82">
        <f>lat(coord!$B$2,coord!$C$2,coord!$D$2)</f>
        <v>45.411171275371856</v>
      </c>
      <c r="N82">
        <f>lon(coord!$B$2,coord!$C$2,coord!$D$2)</f>
        <v>11.896106531717408</v>
      </c>
      <c r="O82" s="7">
        <f t="shared" si="8"/>
        <v>48.219023410555693</v>
      </c>
      <c r="P82">
        <f t="shared" si="9"/>
        <v>-0.10463331896447477</v>
      </c>
      <c r="Q82">
        <f t="shared" si="10"/>
        <v>0.99451086900168095</v>
      </c>
      <c r="R82" s="7">
        <f t="shared" si="11"/>
        <v>5.8900656167683767</v>
      </c>
    </row>
    <row r="83" spans="1:18">
      <c r="A83">
        <f>tetto_ionofree_PR!A83</f>
        <v>24</v>
      </c>
      <c r="B83">
        <f>tetto_ionofree_PR!B83</f>
        <v>0.45</v>
      </c>
      <c r="C83">
        <f>tetto_ionofree_PR!C83</f>
        <v>23</v>
      </c>
      <c r="D83">
        <f>tetto_ionofree_PR!D83</f>
        <v>21103837.401720483</v>
      </c>
      <c r="E83">
        <f>tetto!$D83</f>
        <v>21103831.783</v>
      </c>
      <c r="F83">
        <f>tetto!$G83</f>
        <v>21103828.147999998</v>
      </c>
      <c r="G83">
        <f>tetto_ionofree_PR!$E83</f>
        <v>51.639858596066631</v>
      </c>
      <c r="H83">
        <f>tetto_ionofree_PR!$L83</f>
        <v>56.534708980765501</v>
      </c>
      <c r="I83">
        <f>DEGREES(ACOS(6378*COS(RADIANS(G83))/(6378+coord!B$18)))</f>
        <v>54.269182073967187</v>
      </c>
      <c r="J83" s="7">
        <f>-(10^-16)*(E83-$D83)*(coord!$B$10*10^6)^2*SIN(RADIANS($I83))/40.3</f>
        <v>28.090394635680124</v>
      </c>
      <c r="K83">
        <f>-(10^-16)*(F83-$D83)*(coord!$B$11*10^6)^2*SIN(RADIANS($I83))/40.3</f>
        <v>28.090394636449716</v>
      </c>
      <c r="L83">
        <f>DEGREES(coord!$B$18/(6378*TAN(RADIANS(I83))))</f>
        <v>2.5850073961122253</v>
      </c>
      <c r="M83">
        <f>lat(coord!$B$2,coord!$C$2,coord!$D$2)</f>
        <v>45.411171275371856</v>
      </c>
      <c r="N83">
        <f>lon(coord!$B$2,coord!$C$2,coord!$D$2)</f>
        <v>11.896106531717408</v>
      </c>
      <c r="O83" s="7">
        <f t="shared" si="8"/>
        <v>46.794059456843357</v>
      </c>
      <c r="P83">
        <f t="shared" si="9"/>
        <v>5.4956762051593742E-2</v>
      </c>
      <c r="Q83">
        <f t="shared" si="10"/>
        <v>0.99848873519174186</v>
      </c>
      <c r="R83" s="7">
        <f t="shared" si="11"/>
        <v>15.046484231246348</v>
      </c>
    </row>
    <row r="84" spans="1:18">
      <c r="A84">
        <f>tetto_ionofree_PR!A84</f>
        <v>24</v>
      </c>
      <c r="B84">
        <f>tetto_ionofree_PR!B84</f>
        <v>0.45</v>
      </c>
      <c r="C84">
        <f>tetto_ionofree_PR!C84</f>
        <v>10</v>
      </c>
      <c r="D84">
        <f>tetto_ionofree_PR!D84</f>
        <v>22925647.600978531</v>
      </c>
      <c r="E84">
        <f>tetto!$D84</f>
        <v>22925648.750999998</v>
      </c>
      <c r="F84">
        <f>tetto!$G84</f>
        <v>22925649.495000001</v>
      </c>
      <c r="G84">
        <f>tetto_ionofree_PR!$E84</f>
        <v>26.009525483624039</v>
      </c>
      <c r="H84">
        <f>tetto_ionofree_PR!$L84</f>
        <v>-60.299009801149055</v>
      </c>
      <c r="I84">
        <f>DEGREES(ACOS(6378*COS(RADIANS(G84))/(6378+coord!B$18)))</f>
        <v>32.254746624796958</v>
      </c>
      <c r="J84" s="7">
        <f>-(10^-16)*(E84-$D84)*(coord!$B$10*10^6)^2*SIN(RADIANS($I84))/40.3</f>
        <v>-3.7798821821126447</v>
      </c>
      <c r="K84">
        <f>-(10^-16)*(F84-$D84)*(coord!$B$11*10^6)^2*SIN(RADIANS($I84))/40.3</f>
        <v>-3.7798821889833896</v>
      </c>
      <c r="L84">
        <f>DEGREES(coord!$B$18/(6378*TAN(RADIANS(I84))))</f>
        <v>5.6940512354996917</v>
      </c>
      <c r="M84">
        <f>lat(coord!$B$2,coord!$C$2,coord!$D$2)</f>
        <v>45.411171275371856</v>
      </c>
      <c r="N84">
        <f>lon(coord!$B$2,coord!$C$2,coord!$D$2)</f>
        <v>11.896106531717408</v>
      </c>
      <c r="O84" s="7">
        <f t="shared" si="8"/>
        <v>48.001251880219378</v>
      </c>
      <c r="P84">
        <f t="shared" si="9"/>
        <v>-0.12879961692805367</v>
      </c>
      <c r="Q84">
        <f t="shared" si="10"/>
        <v>0.99167064022244145</v>
      </c>
      <c r="R84" s="7">
        <f t="shared" si="11"/>
        <v>4.49587424788717</v>
      </c>
    </row>
    <row r="85" spans="1:18">
      <c r="A85">
        <f>tetto_ionofree_PR!A85</f>
        <v>24</v>
      </c>
      <c r="B85">
        <f>tetto_ionofree_PR!B85</f>
        <v>0.45</v>
      </c>
      <c r="C85">
        <f>tetto_ionofree_PR!C85</f>
        <v>4</v>
      </c>
      <c r="D85">
        <f>tetto_ionofree_PR!D85</f>
        <v>21152896.302502781</v>
      </c>
      <c r="E85">
        <f>tetto!$D85</f>
        <v>21152895.000999998</v>
      </c>
      <c r="F85">
        <f>tetto!$G85</f>
        <v>21152894.159000002</v>
      </c>
      <c r="G85">
        <f>tetto_ionofree_PR!$E85</f>
        <v>54.594433259242756</v>
      </c>
      <c r="H85">
        <f>tetto_ionofree_PR!$L85</f>
        <v>248.18168744012127</v>
      </c>
      <c r="I85">
        <f>DEGREES(ACOS(6378*COS(RADIANS(G85))/(6378+coord!B$18)))</f>
        <v>56.963737024723066</v>
      </c>
      <c r="J85" s="7">
        <f>-(10^-16)*(E85-$D85)*(coord!$B$10*10^6)^2*SIN(RADIANS($I85))/40.3</f>
        <v>6.7196327926355002</v>
      </c>
      <c r="K85">
        <f>-(10^-16)*(F85-$D85)*(coord!$B$11*10^6)^2*SIN(RADIANS($I85))/40.3</f>
        <v>6.7196327978356098</v>
      </c>
      <c r="L85">
        <f>DEGREES(coord!$B$18/(6378*TAN(RADIANS(I85))))</f>
        <v>2.3367758951298701</v>
      </c>
      <c r="M85">
        <f>lat(coord!$B$2,coord!$C$2,coord!$D$2)</f>
        <v>45.411171275371856</v>
      </c>
      <c r="N85">
        <f>lon(coord!$B$2,coord!$C$2,coord!$D$2)</f>
        <v>11.896106531717408</v>
      </c>
      <c r="O85" s="7">
        <f t="shared" si="8"/>
        <v>44.50186253301937</v>
      </c>
      <c r="P85">
        <f t="shared" si="9"/>
        <v>-5.3072015446366756E-2</v>
      </c>
      <c r="Q85">
        <f t="shared" si="10"/>
        <v>0.99859068750737956</v>
      </c>
      <c r="R85" s="7">
        <f t="shared" si="11"/>
        <v>8.8538747503159847</v>
      </c>
    </row>
    <row r="86" spans="1:18">
      <c r="A86">
        <f>tetto_ionofree_PR!A86</f>
        <v>24</v>
      </c>
      <c r="B86">
        <f>tetto_ionofree_PR!B86</f>
        <v>0.45</v>
      </c>
      <c r="C86">
        <f>tetto_ionofree_PR!C86</f>
        <v>20</v>
      </c>
      <c r="D86">
        <f>tetto_ionofree_PR!D86</f>
        <v>23042902.22609102</v>
      </c>
      <c r="E86">
        <f>tetto!$D86</f>
        <v>23042899.653999999</v>
      </c>
      <c r="F86">
        <f>tetto!$G86</f>
        <v>23042897.989999998</v>
      </c>
      <c r="G86">
        <f>tetto_ionofree_PR!$E86</f>
        <v>26.941451217495718</v>
      </c>
      <c r="H86">
        <f>tetto_ionofree_PR!$L86</f>
        <v>116.55365733752616</v>
      </c>
      <c r="I86">
        <f>DEGREES(ACOS(6378*COS(RADIANS(G86))/(6378+coord!B$18)))</f>
        <v>32.980028633987963</v>
      </c>
      <c r="J86" s="7">
        <f>-(10^-16)*(E86-$D86)*(coord!$B$10*10^6)^2*SIN(RADIANS($I86))/40.3</f>
        <v>8.6228248880445939</v>
      </c>
      <c r="K86">
        <f>-(10^-16)*(F86-$D86)*(coord!$B$11*10^6)^2*SIN(RADIANS($I86))/40.3</f>
        <v>8.6228248969883907</v>
      </c>
      <c r="L86">
        <f>DEGREES(coord!$B$18/(6378*TAN(RADIANS(I86))))</f>
        <v>5.5374805116312853</v>
      </c>
      <c r="M86">
        <f>lat(coord!$B$2,coord!$C$2,coord!$D$2)</f>
        <v>45.411171275371856</v>
      </c>
      <c r="N86">
        <f>lon(coord!$B$2,coord!$C$2,coord!$D$2)</f>
        <v>11.896106531717408</v>
      </c>
      <c r="O86" s="7">
        <f t="shared" si="8"/>
        <v>42.730930043471446</v>
      </c>
      <c r="P86">
        <f t="shared" si="9"/>
        <v>0.11751167466333132</v>
      </c>
      <c r="Q86">
        <f t="shared" si="10"/>
        <v>0.9930715011104787</v>
      </c>
      <c r="R86" s="7">
        <f t="shared" si="11"/>
        <v>18.644622439363868</v>
      </c>
    </row>
    <row r="87" spans="1:18">
      <c r="A87">
        <f>tetto_ionofree_PR!A87</f>
        <v>24</v>
      </c>
      <c r="B87">
        <f>tetto_ionofree_PR!B87</f>
        <v>0.45</v>
      </c>
      <c r="C87">
        <f>tetto_ionofree_PR!C87</f>
        <v>13</v>
      </c>
      <c r="D87">
        <f>tetto_ionofree_PR!D87</f>
        <v>20135795.772340063</v>
      </c>
      <c r="E87">
        <f>tetto!$D87</f>
        <v>20135792.82</v>
      </c>
      <c r="F87">
        <f>tetto!$G87</f>
        <v>20135790.91</v>
      </c>
      <c r="G87">
        <f>tetto_ionofree_PR!$E87</f>
        <v>75.965112840902663</v>
      </c>
      <c r="H87">
        <f>tetto_ionofree_PR!$L87</f>
        <v>23.519839700864054</v>
      </c>
      <c r="I87">
        <f>DEGREES(ACOS(6378*COS(RADIANS(G87))/(6378+coord!B$18)))</f>
        <v>76.808825306814953</v>
      </c>
      <c r="J87" s="7">
        <f>-(10^-16)*(E87-$D87)*(coord!$B$10*10^6)^2*SIN(RADIANS($I87))/40.3</f>
        <v>17.702755928534064</v>
      </c>
      <c r="K87">
        <f>-(10^-16)*(F87-$D87)*(coord!$B$11*10^6)^2*SIN(RADIANS($I87))/40.3</f>
        <v>17.702755922961934</v>
      </c>
      <c r="L87">
        <f>DEGREES(coord!$B$18/(6378*TAN(RADIANS(I87))))</f>
        <v>0.84222598219692024</v>
      </c>
      <c r="M87">
        <f>lat(coord!$B$2,coord!$C$2,coord!$D$2)</f>
        <v>45.411171275371856</v>
      </c>
      <c r="N87">
        <f>lon(coord!$B$2,coord!$C$2,coord!$D$2)</f>
        <v>11.896106531717408</v>
      </c>
      <c r="O87" s="7">
        <f t="shared" si="8"/>
        <v>46.182408290506451</v>
      </c>
      <c r="P87">
        <f t="shared" si="9"/>
        <v>8.472289556571035E-3</v>
      </c>
      <c r="Q87">
        <f t="shared" si="10"/>
        <v>0.9999641095107713</v>
      </c>
      <c r="R87" s="7">
        <f t="shared" si="11"/>
        <v>12.38153877360247</v>
      </c>
    </row>
    <row r="88" spans="1:18">
      <c r="A88">
        <f>tetto_ionofree_PR!A88</f>
        <v>24</v>
      </c>
      <c r="B88">
        <f>tetto_ionofree_PR!B88</f>
        <v>0.45</v>
      </c>
      <c r="C88">
        <f>tetto_ionofree_PR!C88</f>
        <v>7</v>
      </c>
      <c r="D88">
        <f>tetto_ionofree_PR!D88</f>
        <v>21828970.486056246</v>
      </c>
      <c r="E88">
        <f>tetto!$D88</f>
        <v>21828968.625</v>
      </c>
      <c r="F88">
        <f>tetto!$G88</f>
        <v>21828967.421</v>
      </c>
      <c r="G88">
        <f>tetto_ionofree_PR!$E88</f>
        <v>44.017663679000286</v>
      </c>
      <c r="H88">
        <f>tetto_ionofree_PR!$L88</f>
        <v>176.23300818514912</v>
      </c>
      <c r="I88">
        <f>DEGREES(ACOS(6378*COS(RADIANS(G88))/(6378+coord!B$18)))</f>
        <v>47.414722565910132</v>
      </c>
      <c r="J88" s="7">
        <f>-(10^-16)*(E88-$D88)*(coord!$B$10*10^6)^2*SIN(RADIANS($I88))/40.3</f>
        <v>8.4388807796653555</v>
      </c>
      <c r="K88">
        <f>-(10^-16)*(F88-$D88)*(coord!$B$11*10^6)^2*SIN(RADIANS($I88))/40.3</f>
        <v>8.4388807820072955</v>
      </c>
      <c r="L88">
        <f>DEGREES(coord!$B$18/(6378*TAN(RADIANS(I88))))</f>
        <v>3.3025402949256319</v>
      </c>
      <c r="M88">
        <f>lat(coord!$B$2,coord!$C$2,coord!$D$2)</f>
        <v>45.411171275371856</v>
      </c>
      <c r="N88">
        <f>lon(coord!$B$2,coord!$C$2,coord!$D$2)</f>
        <v>11.896106531717408</v>
      </c>
      <c r="O88" s="7">
        <f t="shared" si="8"/>
        <v>42.115379424363468</v>
      </c>
      <c r="P88">
        <f t="shared" si="9"/>
        <v>5.102226091485077E-3</v>
      </c>
      <c r="Q88">
        <f t="shared" si="10"/>
        <v>0.99998698355974203</v>
      </c>
      <c r="R88" s="7">
        <f t="shared" si="11"/>
        <v>12.188443821279089</v>
      </c>
    </row>
    <row r="90" spans="1:18">
      <c r="A90">
        <f>tetto_ionofree_PR!A90</f>
        <v>26</v>
      </c>
      <c r="B90">
        <f>tetto_ionofree_PR!B90</f>
        <v>0.46666666666666667</v>
      </c>
      <c r="C90">
        <f>tetto_ionofree_PR!C90</f>
        <v>2</v>
      </c>
      <c r="D90">
        <f>tetto_ionofree_PR!D90</f>
        <v>22573599.868256755</v>
      </c>
      <c r="E90">
        <f>tetto!$D90</f>
        <v>22573595.329999998</v>
      </c>
      <c r="F90">
        <f>tetto!$G90</f>
        <v>22573592.394000001</v>
      </c>
      <c r="G90">
        <f>tetto_ionofree_PR!$E90</f>
        <v>30.790945559673574</v>
      </c>
      <c r="H90">
        <f>tetto_ionofree_PR!$L90</f>
        <v>-53.854292527937872</v>
      </c>
      <c r="I90">
        <f>DEGREES(ACOS(6378*COS(RADIANS(G90))/(6378+coord!B$18)))</f>
        <v>36.065455129411738</v>
      </c>
      <c r="J90" s="7">
        <f>-(10^-16)*(E90-$D90)*(coord!$B$10*10^6)^2*SIN(RADIANS($I90))/40.3</f>
        <v>16.454226514881245</v>
      </c>
      <c r="K90">
        <f>-(10^-16)*(F90-$D90)*(coord!$B$11*10^6)^2*SIN(RADIANS($I90))/40.3</f>
        <v>16.454226516161519</v>
      </c>
      <c r="L90">
        <f>DEGREES(coord!$B$18/(6378*TAN(RADIANS(I90))))</f>
        <v>4.9339427583599997</v>
      </c>
      <c r="M90">
        <f>lat(coord!$B$2,coord!$C$2,coord!$D$2)</f>
        <v>45.411171275371856</v>
      </c>
      <c r="N90">
        <f>lon(coord!$B$2,coord!$C$2,coord!$D$2)</f>
        <v>11.896106531717408</v>
      </c>
      <c r="O90" s="7">
        <f t="shared" si="8"/>
        <v>48.170917221906485</v>
      </c>
      <c r="P90">
        <f t="shared" si="9"/>
        <v>-0.10414056267426089</v>
      </c>
      <c r="Q90">
        <f t="shared" si="10"/>
        <v>0.9945625888831171</v>
      </c>
      <c r="R90" s="7">
        <f t="shared" si="11"/>
        <v>5.9184535629935926</v>
      </c>
    </row>
    <row r="91" spans="1:18">
      <c r="A91">
        <f>tetto_ionofree_PR!A91</f>
        <v>26</v>
      </c>
      <c r="B91">
        <f>tetto_ionofree_PR!B91</f>
        <v>0.46666666666666667</v>
      </c>
      <c r="C91">
        <f>tetto_ionofree_PR!C91</f>
        <v>23</v>
      </c>
      <c r="D91">
        <f>tetto_ionofree_PR!D91</f>
        <v>21126056.883669391</v>
      </c>
      <c r="E91">
        <f>tetto!$D91</f>
        <v>21126051.554000001</v>
      </c>
      <c r="F91">
        <f>tetto!$G91</f>
        <v>21126048.105999999</v>
      </c>
      <c r="G91">
        <f>tetto_ionofree_PR!$E91</f>
        <v>51.217540250394151</v>
      </c>
      <c r="H91">
        <f>tetto_ionofree_PR!$L91</f>
        <v>56.783867473324378</v>
      </c>
      <c r="I91">
        <f>DEGREES(ACOS(6378*COS(RADIANS(G91))/(6378+coord!B$18)))</f>
        <v>53.885515780734728</v>
      </c>
      <c r="J91" s="7">
        <f>-(10^-16)*(E91-$D91)*(coord!$B$10*10^6)^2*SIN(RADIANS($I91))/40.3</f>
        <v>26.516352006020092</v>
      </c>
      <c r="K91">
        <f>-(10^-16)*(F91-$D91)*(coord!$B$11*10^6)^2*SIN(RADIANS($I91))/40.3</f>
        <v>26.516352006467116</v>
      </c>
      <c r="L91">
        <f>DEGREES(coord!$B$18/(6378*TAN(RADIANS(I91))))</f>
        <v>2.6216990496490267</v>
      </c>
      <c r="M91">
        <f>lat(coord!$B$2,coord!$C$2,coord!$D$2)</f>
        <v>45.411171275371856</v>
      </c>
      <c r="N91">
        <f>lon(coord!$B$2,coord!$C$2,coord!$D$2)</f>
        <v>11.896106531717408</v>
      </c>
      <c r="O91" s="7">
        <f t="shared" si="8"/>
        <v>46.803289156778938</v>
      </c>
      <c r="P91">
        <f t="shared" si="9"/>
        <v>5.5905554910771905E-2</v>
      </c>
      <c r="Q91">
        <f t="shared" si="10"/>
        <v>0.99843606151326425</v>
      </c>
      <c r="R91" s="7">
        <f t="shared" si="11"/>
        <v>15.100929769167564</v>
      </c>
    </row>
    <row r="92" spans="1:18">
      <c r="A92">
        <f>tetto_ionofree_PR!A92</f>
        <v>26</v>
      </c>
      <c r="B92">
        <f>tetto_ionofree_PR!B92</f>
        <v>0.46666666666666667</v>
      </c>
      <c r="C92">
        <f>tetto_ionofree_PR!C92</f>
        <v>10</v>
      </c>
      <c r="D92">
        <f>tetto_ionofree_PR!D92</f>
        <v>22891103.47374624</v>
      </c>
      <c r="E92">
        <f>tetto!$D92</f>
        <v>22891104.395</v>
      </c>
      <c r="F92">
        <f>tetto!$G92</f>
        <v>22891104.991</v>
      </c>
      <c r="G92">
        <f>tetto_ionofree_PR!$E92</f>
        <v>26.408199752631688</v>
      </c>
      <c r="H92">
        <f>tetto_ionofree_PR!$L92</f>
        <v>-60.132465586152193</v>
      </c>
      <c r="I92">
        <f>DEGREES(ACOS(6378*COS(RADIANS(G92))/(6378+coord!B$18)))</f>
        <v>32.563874491145071</v>
      </c>
      <c r="J92" s="7">
        <f>-(10^-16)*(E92-$D92)*(coord!$B$10*10^6)^2*SIN(RADIANS($I92))/40.3</f>
        <v>-3.053813465199041</v>
      </c>
      <c r="K92">
        <f>-(10^-16)*(F92-$D92)*(coord!$B$11*10^6)^2*SIN(RADIANS($I92))/40.3</f>
        <v>-3.0538134637056928</v>
      </c>
      <c r="L92">
        <f>DEGREES(coord!$B$18/(6378*TAN(RADIANS(I92))))</f>
        <v>5.6265593900668458</v>
      </c>
      <c r="M92">
        <f>lat(coord!$B$2,coord!$C$2,coord!$D$2)</f>
        <v>45.411171275371856</v>
      </c>
      <c r="N92">
        <f>lon(coord!$B$2,coord!$C$2,coord!$D$2)</f>
        <v>11.896106531717408</v>
      </c>
      <c r="O92" s="7">
        <f t="shared" si="8"/>
        <v>47.988293436215891</v>
      </c>
      <c r="P92">
        <f t="shared" si="9"/>
        <v>-0.12703441251847211</v>
      </c>
      <c r="Q92">
        <f t="shared" si="10"/>
        <v>0.99189831033029119</v>
      </c>
      <c r="R92" s="7">
        <f t="shared" si="11"/>
        <v>4.5978507745109916</v>
      </c>
    </row>
    <row r="93" spans="1:18">
      <c r="A93">
        <f>tetto_ionofree_PR!A93</f>
        <v>26</v>
      </c>
      <c r="B93">
        <f>tetto_ionofree_PR!B93</f>
        <v>0.46666666666666667</v>
      </c>
      <c r="C93">
        <f>tetto_ionofree_PR!C93</f>
        <v>4</v>
      </c>
      <c r="D93">
        <f>tetto_ionofree_PR!D93</f>
        <v>21164123.046940308</v>
      </c>
      <c r="E93">
        <f>tetto!$D93</f>
        <v>21164122.355999999</v>
      </c>
      <c r="F93">
        <f>tetto!$G93</f>
        <v>21164121.909000002</v>
      </c>
      <c r="G93">
        <f>tetto_ionofree_PR!$E93</f>
        <v>54.417355072733706</v>
      </c>
      <c r="H93">
        <f>tetto_ionofree_PR!$L93</f>
        <v>247.4086567561487</v>
      </c>
      <c r="I93">
        <f>DEGREES(ACOS(6378*COS(RADIANS(G93))/(6378+coord!B$18)))</f>
        <v>56.801760178707397</v>
      </c>
      <c r="J93" s="7">
        <f>-(10^-16)*(E93-$D93)*(coord!$B$10*10^6)^2*SIN(RADIANS($I93))/40.3</f>
        <v>3.5607384436407039</v>
      </c>
      <c r="K93">
        <f>-(10^-16)*(F93-$D93)*(coord!$B$11*10^6)^2*SIN(RADIANS($I93))/40.3</f>
        <v>3.5607384509812743</v>
      </c>
      <c r="L93">
        <f>DEGREES(coord!$B$18/(6378*TAN(RADIANS(I93))))</f>
        <v>2.3512570493566778</v>
      </c>
      <c r="M93">
        <f>lat(coord!$B$2,coord!$C$2,coord!$D$2)</f>
        <v>45.411171275371856</v>
      </c>
      <c r="N93">
        <f>lon(coord!$B$2,coord!$C$2,coord!$D$2)</f>
        <v>11.896106531717408</v>
      </c>
      <c r="O93" s="7">
        <f t="shared" si="8"/>
        <v>44.467088151962223</v>
      </c>
      <c r="P93">
        <f t="shared" si="9"/>
        <v>-5.3075784467941312E-2</v>
      </c>
      <c r="Q93">
        <f t="shared" si="10"/>
        <v>0.99859048718837318</v>
      </c>
      <c r="R93" s="7">
        <f t="shared" si="11"/>
        <v>8.8536584964959975</v>
      </c>
    </row>
    <row r="94" spans="1:18">
      <c r="A94">
        <f>tetto_ionofree_PR!A94</f>
        <v>26</v>
      </c>
      <c r="B94">
        <f>tetto_ionofree_PR!B94</f>
        <v>0.46666666666666667</v>
      </c>
      <c r="C94">
        <f>tetto_ionofree_PR!C94</f>
        <v>20</v>
      </c>
      <c r="D94">
        <f>tetto_ionofree_PR!D94</f>
        <v>23077919.4693143</v>
      </c>
      <c r="E94">
        <f>tetto!$D94</f>
        <v>23077917.177000001</v>
      </c>
      <c r="F94">
        <f>tetto!$G94</f>
        <v>23077915.693999998</v>
      </c>
      <c r="G94">
        <f>tetto_ionofree_PR!$E94</f>
        <v>26.556271583244481</v>
      </c>
      <c r="H94">
        <f>tetto_ionofree_PR!$L94</f>
        <v>116.8278344106875</v>
      </c>
      <c r="I94">
        <f>DEGREES(ACOS(6378*COS(RADIANS(G94))/(6378+coord!B$18)))</f>
        <v>32.679127916234194</v>
      </c>
      <c r="J94" s="7">
        <f>-(10^-16)*(E94-$D94)*(coord!$B$10*10^6)^2*SIN(RADIANS($I94))/40.3</f>
        <v>7.6225852144183062</v>
      </c>
      <c r="K94">
        <f>-(10^-16)*(F94-$D94)*(coord!$B$11*10^6)^2*SIN(RADIANS($I94))/40.3</f>
        <v>7.6225852194619481</v>
      </c>
      <c r="L94">
        <f>DEGREES(coord!$B$18/(6378*TAN(RADIANS(I94))))</f>
        <v>5.6016872592836666</v>
      </c>
      <c r="M94">
        <f>lat(coord!$B$2,coord!$C$2,coord!$D$2)</f>
        <v>45.411171275371856</v>
      </c>
      <c r="N94">
        <f>lon(coord!$B$2,coord!$C$2,coord!$D$2)</f>
        <v>11.896106531717408</v>
      </c>
      <c r="O94" s="7">
        <f t="shared" si="8"/>
        <v>42.674759715690001</v>
      </c>
      <c r="P94">
        <f t="shared" si="9"/>
        <v>0.11847702496481857</v>
      </c>
      <c r="Q94">
        <f t="shared" si="10"/>
        <v>0.99295679390167124</v>
      </c>
      <c r="R94" s="7">
        <f t="shared" si="11"/>
        <v>18.700322042244487</v>
      </c>
    </row>
    <row r="95" spans="1:18">
      <c r="A95">
        <f>tetto_ionofree_PR!A95</f>
        <v>26</v>
      </c>
      <c r="B95">
        <f>tetto_ionofree_PR!B95</f>
        <v>0.46666666666666667</v>
      </c>
      <c r="C95">
        <f>tetto_ionofree_PR!C95</f>
        <v>13</v>
      </c>
      <c r="D95">
        <f>tetto_ionofree_PR!D95</f>
        <v>20143751.653136112</v>
      </c>
      <c r="E95">
        <f>tetto!$D95</f>
        <v>20143748.826000001</v>
      </c>
      <c r="F95">
        <f>tetto!$G95</f>
        <v>20143746.997000001</v>
      </c>
      <c r="G95">
        <f>tetto_ionofree_PR!$E95</f>
        <v>75.567429420306638</v>
      </c>
      <c r="H95">
        <f>tetto_ionofree_PR!$L95</f>
        <v>24.649002629192339</v>
      </c>
      <c r="I95">
        <f>DEGREES(ACOS(6378*COS(RADIANS(G95))/(6378+coord!B$18)))</f>
        <v>76.435982579759084</v>
      </c>
      <c r="J95" s="7">
        <f>-(10^-16)*(E95-$D95)*(coord!$B$10*10^6)^2*SIN(RADIANS($I95))/40.3</f>
        <v>16.925796424470981</v>
      </c>
      <c r="K95">
        <f>-(10^-16)*(F95-$D95)*(coord!$B$11*10^6)^2*SIN(RADIANS($I95))/40.3</f>
        <v>16.925796422744376</v>
      </c>
      <c r="L95">
        <f>DEGREES(coord!$B$18/(6378*TAN(RADIANS(I95))))</f>
        <v>0.86693164536246226</v>
      </c>
      <c r="M95">
        <f>lat(coord!$B$2,coord!$C$2,coord!$D$2)</f>
        <v>45.411171275371856</v>
      </c>
      <c r="N95">
        <f>lon(coord!$B$2,coord!$C$2,coord!$D$2)</f>
        <v>11.896106531717408</v>
      </c>
      <c r="O95" s="7">
        <f t="shared" si="8"/>
        <v>46.197928861017331</v>
      </c>
      <c r="P95">
        <f t="shared" si="9"/>
        <v>9.1165408043437958E-3</v>
      </c>
      <c r="Q95">
        <f t="shared" si="10"/>
        <v>0.99995844347840923</v>
      </c>
      <c r="R95" s="7">
        <f t="shared" si="11"/>
        <v>12.418453079220347</v>
      </c>
    </row>
    <row r="96" spans="1:18">
      <c r="A96">
        <f>tetto_ionofree_PR!A96</f>
        <v>26</v>
      </c>
      <c r="B96">
        <f>tetto_ionofree_PR!B96</f>
        <v>0.46666666666666667</v>
      </c>
      <c r="C96">
        <f>tetto_ionofree_PR!C96</f>
        <v>7</v>
      </c>
      <c r="D96">
        <f>tetto_ionofree_PR!D96</f>
        <v>21796378.434098326</v>
      </c>
      <c r="E96">
        <f>tetto!$D96</f>
        <v>21796376.335000001</v>
      </c>
      <c r="F96">
        <f>tetto!$G96</f>
        <v>21796374.977000002</v>
      </c>
      <c r="G96">
        <f>tetto_ionofree_PR!$E96</f>
        <v>44.506849022166499</v>
      </c>
      <c r="H96">
        <f>tetto_ionofree_PR!$L96</f>
        <v>176.1362712094151</v>
      </c>
      <c r="I96">
        <f>DEGREES(ACOS(6378*COS(RADIANS(G96))/(6378+coord!B$18)))</f>
        <v>47.849562979981911</v>
      </c>
      <c r="J96" s="7">
        <f>-(10^-16)*(E96-$D96)*(coord!$B$10*10^6)^2*SIN(RADIANS($I96))/40.3</f>
        <v>9.5843897035502419</v>
      </c>
      <c r="K96">
        <f>-(10^-16)*(F96-$D96)*(coord!$B$11*10^6)^2*SIN(RADIANS($I96))/40.3</f>
        <v>9.584389702219088</v>
      </c>
      <c r="L96">
        <f>DEGREES(coord!$B$18/(6378*TAN(RADIANS(I96))))</f>
        <v>3.2525806320299555</v>
      </c>
      <c r="M96">
        <f>lat(coord!$B$2,coord!$C$2,coord!$D$2)</f>
        <v>45.411171275371856</v>
      </c>
      <c r="N96">
        <f>lon(coord!$B$2,coord!$C$2,coord!$D$2)</f>
        <v>11.896106531717408</v>
      </c>
      <c r="O96" s="7">
        <f t="shared" si="8"/>
        <v>42.165588258566316</v>
      </c>
      <c r="P96">
        <f t="shared" si="9"/>
        <v>5.1580661896605253E-3</v>
      </c>
      <c r="Q96">
        <f t="shared" si="10"/>
        <v>0.99998669708810772</v>
      </c>
      <c r="R96" s="7">
        <f t="shared" si="11"/>
        <v>12.191643265334953</v>
      </c>
    </row>
    <row r="97" spans="1:18">
      <c r="A97" t="str">
        <f>tetto_ionofree_PR!A97</f>
        <v>inizia a muoversi!</v>
      </c>
    </row>
    <row r="98" spans="1:18">
      <c r="A98">
        <f>tetto_ionofree_PR!A98</f>
        <v>28</v>
      </c>
      <c r="B98">
        <f>tetto_ionofree_PR!B98</f>
        <v>0.48333333333333334</v>
      </c>
      <c r="C98">
        <f>tetto_ionofree_PR!C98</f>
        <v>2</v>
      </c>
      <c r="D98">
        <f>tetto_ionofree_PR!D98</f>
        <v>22548432.574638896</v>
      </c>
      <c r="E98">
        <f>tetto!$D98</f>
        <v>22548428.445999999</v>
      </c>
      <c r="F98">
        <f>tetto!$G98</f>
        <v>22548425.774999999</v>
      </c>
      <c r="G98">
        <f>tetto_ionofree_PR!$E98</f>
        <v>31.066974552672043</v>
      </c>
      <c r="H98">
        <f>tetto_ionofree_PR!$L98</f>
        <v>-54.216783525074931</v>
      </c>
      <c r="I98">
        <f>DEGREES(ACOS(6378*COS(RADIANS(G98))/(6378+coord!B$18)))</f>
        <v>36.291609106683296</v>
      </c>
      <c r="J98" s="7">
        <f>-(10^-16)*(E98-$D98)*(coord!$B$10*10^6)^2*SIN(RADIANS($I98))/40.3</f>
        <v>15.050098445184281</v>
      </c>
      <c r="K98">
        <f>-(10^-16)*(F98-$D98)*(coord!$B$11*10^6)^2*SIN(RADIANS($I98))/40.3</f>
        <v>15.050098450715593</v>
      </c>
      <c r="L98">
        <f>DEGREES(coord!$B$18/(6378*TAN(RADIANS(I98))))</f>
        <v>4.8932391365086456</v>
      </c>
      <c r="M98">
        <f>lat(coord!$B$2,coord!$C$2,coord!$D$2)</f>
        <v>45.411171275371856</v>
      </c>
      <c r="N98">
        <f>lon(coord!$B$2,coord!$C$2,coord!$D$2)</f>
        <v>11.896106531717408</v>
      </c>
      <c r="O98" s="7">
        <f t="shared" si="8"/>
        <v>48.12313943058173</v>
      </c>
      <c r="P98">
        <f t="shared" si="9"/>
        <v>-0.10366221133656806</v>
      </c>
      <c r="Q98">
        <f t="shared" si="10"/>
        <v>0.99461256071940518</v>
      </c>
      <c r="R98" s="7">
        <f t="shared" si="11"/>
        <v>5.9460102236037891</v>
      </c>
    </row>
    <row r="99" spans="1:18">
      <c r="A99">
        <f>tetto_ionofree_PR!A99</f>
        <v>28</v>
      </c>
      <c r="B99">
        <f>tetto_ionofree_PR!B99</f>
        <v>0.48333333333333334</v>
      </c>
      <c r="C99">
        <f>tetto_ionofree_PR!C99</f>
        <v>23</v>
      </c>
      <c r="D99">
        <f>tetto_ionofree_PR!D99</f>
        <v>21148481.176623005</v>
      </c>
      <c r="E99">
        <f>tetto!$D99</f>
        <v>21148475.594999999</v>
      </c>
      <c r="F99">
        <f>tetto!$G99</f>
        <v>21148471.984000001</v>
      </c>
      <c r="G99">
        <f>tetto_ionofree_PR!$E99</f>
        <v>50.796193439445325</v>
      </c>
      <c r="H99">
        <f>tetto_ionofree_PR!$L99</f>
        <v>57.033775515039764</v>
      </c>
      <c r="I99">
        <f>DEGREES(ACOS(6378*COS(RADIANS(G99))/(6378+coord!B$18)))</f>
        <v>53.503129373638018</v>
      </c>
      <c r="J99" s="7">
        <f>-(10^-16)*(E99-$D99)*(coord!$B$10*10^6)^2*SIN(RADIANS($I99))/40.3</f>
        <v>27.634043489682714</v>
      </c>
      <c r="K99">
        <f>-(10^-16)*(F99-$D99)*(coord!$B$11*10^6)^2*SIN(RADIANS($I99))/40.3</f>
        <v>27.634043497481326</v>
      </c>
      <c r="L99">
        <f>DEGREES(coord!$B$18/(6378*TAN(RADIANS(I99))))</f>
        <v>2.6586267770736711</v>
      </c>
      <c r="M99">
        <f>lat(coord!$B$2,coord!$C$2,coord!$D$2)</f>
        <v>45.411171275371856</v>
      </c>
      <c r="N99">
        <f>lon(coord!$B$2,coord!$C$2,coord!$D$2)</f>
        <v>11.896106531717408</v>
      </c>
      <c r="O99" s="7">
        <f t="shared" si="8"/>
        <v>46.812284310586762</v>
      </c>
      <c r="P99">
        <f t="shared" si="9"/>
        <v>5.6863327937836265E-2</v>
      </c>
      <c r="Q99">
        <f t="shared" si="10"/>
        <v>0.99838197196054879</v>
      </c>
      <c r="R99" s="7">
        <f t="shared" si="11"/>
        <v>15.155893563618516</v>
      </c>
    </row>
    <row r="100" spans="1:18">
      <c r="A100">
        <f>tetto_ionofree_PR!A100</f>
        <v>28</v>
      </c>
      <c r="B100">
        <f>tetto_ionofree_PR!B100</f>
        <v>0.48333333333333334</v>
      </c>
      <c r="C100">
        <f>tetto_ionofree_PR!C100</f>
        <v>10</v>
      </c>
      <c r="D100">
        <f>tetto_ionofree_PR!D100</f>
        <v>22856656.437578797</v>
      </c>
      <c r="E100">
        <f>tetto!$D100</f>
        <v>22856656.249000002</v>
      </c>
      <c r="F100">
        <f>tetto!$G100</f>
        <v>22856656.127</v>
      </c>
      <c r="G100">
        <f>tetto_ionofree_PR!$E100</f>
        <v>26.807881872044945</v>
      </c>
      <c r="H100">
        <f>tetto_ionofree_PR!$L100</f>
        <v>-59.967756820625311</v>
      </c>
      <c r="I100">
        <f>DEGREES(ACOS(6378*COS(RADIANS(G100))/(6378+coord!B$18)))</f>
        <v>32.87550791117706</v>
      </c>
      <c r="J100" s="7">
        <f>-(10^-16)*(E100-$D100)*(coord!$B$10*10^6)^2*SIN(RADIANS($I100))/40.3</f>
        <v>0.6304240216771857</v>
      </c>
      <c r="K100">
        <f>-(10^-16)*(F100-$D100)*(coord!$B$11*10^6)^2*SIN(RADIANS($I100))/40.3</f>
        <v>0.63042401597438236</v>
      </c>
      <c r="L100">
        <f>DEGREES(coord!$B$18/(6378*TAN(RADIANS(I100))))</f>
        <v>5.5596650214535446</v>
      </c>
      <c r="M100">
        <f>lat(coord!$B$2,coord!$C$2,coord!$D$2)</f>
        <v>45.411171275371856</v>
      </c>
      <c r="N100">
        <f>lon(coord!$B$2,coord!$C$2,coord!$D$2)</f>
        <v>11.896106531717408</v>
      </c>
      <c r="O100" s="7">
        <f t="shared" si="8"/>
        <v>47.974959249111599</v>
      </c>
      <c r="P100">
        <f t="shared" si="9"/>
        <v>-0.12528875162985464</v>
      </c>
      <c r="Q100">
        <f t="shared" si="10"/>
        <v>0.99212031967651615</v>
      </c>
      <c r="R100" s="7">
        <f t="shared" si="11"/>
        <v>4.6986754079655855</v>
      </c>
    </row>
    <row r="101" spans="1:18">
      <c r="A101">
        <f>tetto_ionofree_PR!A101</f>
        <v>28</v>
      </c>
      <c r="B101">
        <f>tetto_ionofree_PR!B101</f>
        <v>0.48333333333333334</v>
      </c>
      <c r="C101">
        <f>tetto_ionofree_PR!C101</f>
        <v>4</v>
      </c>
      <c r="D101">
        <f>tetto_ionofree_PR!D101</f>
        <v>21175778.082647916</v>
      </c>
      <c r="E101">
        <f>tetto!$D101</f>
        <v>21175777.502999999</v>
      </c>
      <c r="F101">
        <f>tetto!$G101</f>
        <v>21175777.127999999</v>
      </c>
      <c r="G101">
        <f>tetto_ionofree_PR!$E101</f>
        <v>54.23275977723943</v>
      </c>
      <c r="H101">
        <f>tetto_ionofree_PR!$L101</f>
        <v>246.64389969143321</v>
      </c>
      <c r="I101">
        <f>DEGREES(ACOS(6378*COS(RADIANS(G101))/(6378+coord!B$18)))</f>
        <v>56.632969662194974</v>
      </c>
      <c r="J101" s="7">
        <f>-(10^-16)*(E101-$D101)*(coord!$B$10*10^6)^2*SIN(RADIANS($I101))/40.3</f>
        <v>2.9814255023886855</v>
      </c>
      <c r="K101">
        <f>-(10^-16)*(F101-$D101)*(coord!$B$11*10^6)^2*SIN(RADIANS($I101))/40.3</f>
        <v>2.981425502915461</v>
      </c>
      <c r="L101">
        <f>DEGREES(coord!$B$18/(6378*TAN(RADIANS(I101))))</f>
        <v>2.3664044806298539</v>
      </c>
      <c r="M101">
        <f>lat(coord!$B$2,coord!$C$2,coord!$D$2)</f>
        <v>45.411171275371856</v>
      </c>
      <c r="N101">
        <f>lon(coord!$B$2,coord!$C$2,coord!$D$2)</f>
        <v>11.896106531717408</v>
      </c>
      <c r="O101" s="7">
        <f t="shared" si="8"/>
        <v>44.432159448083574</v>
      </c>
      <c r="P101">
        <f t="shared" si="9"/>
        <v>-5.3084351193609138E-2</v>
      </c>
      <c r="Q101">
        <f t="shared" si="10"/>
        <v>0.99859003182404837</v>
      </c>
      <c r="R101" s="7">
        <f t="shared" si="11"/>
        <v>8.8531669663410248</v>
      </c>
    </row>
    <row r="102" spans="1:18">
      <c r="A102">
        <f>tetto_ionofree_PR!A102</f>
        <v>28</v>
      </c>
      <c r="B102">
        <f>tetto_ionofree_PR!B102</f>
        <v>0.48333333333333334</v>
      </c>
      <c r="C102">
        <f>tetto_ionofree_PR!C102</f>
        <v>20</v>
      </c>
      <c r="D102">
        <f>tetto_ionofree_PR!D102</f>
        <v>23113105.843892664</v>
      </c>
      <c r="E102">
        <f>tetto!$D102</f>
        <v>23113104.394000001</v>
      </c>
      <c r="F102">
        <f>tetto!$G102</f>
        <v>23113103.456</v>
      </c>
      <c r="G102">
        <f>tetto_ionofree_PR!$E102</f>
        <v>26.171283431219337</v>
      </c>
      <c r="H102">
        <f>tetto_ionofree_PR!$L102</f>
        <v>117.10030687272081</v>
      </c>
      <c r="I102">
        <f>DEGREES(ACOS(6378*COS(RADIANS(G102))/(6378+coord!B$18)))</f>
        <v>32.379961786966739</v>
      </c>
      <c r="J102" s="7">
        <f>-(10^-16)*(E102-$D102)*(coord!$B$10*10^6)^2*SIN(RADIANS($I102))/40.3</f>
        <v>4.7819883557492382</v>
      </c>
      <c r="K102">
        <f>-(10^-16)*(F102-$D102)*(coord!$B$11*10^6)^2*SIN(RADIANS($I102))/40.3</f>
        <v>4.7819883517248432</v>
      </c>
      <c r="L102">
        <f>DEGREES(coord!$B$18/(6378*TAN(RADIANS(I102))))</f>
        <v>5.6665746729881725</v>
      </c>
      <c r="M102">
        <f>lat(coord!$B$2,coord!$C$2,coord!$D$2)</f>
        <v>45.411171275371856</v>
      </c>
      <c r="N102">
        <f>lon(coord!$B$2,coord!$C$2,coord!$D$2)</f>
        <v>11.896106531717408</v>
      </c>
      <c r="O102" s="7">
        <f t="shared" si="8"/>
        <v>42.617891874943808</v>
      </c>
      <c r="P102">
        <f t="shared" si="9"/>
        <v>0.11944612173059471</v>
      </c>
      <c r="Q102">
        <f t="shared" si="10"/>
        <v>0.99284068409967996</v>
      </c>
      <c r="R102" s="7">
        <f t="shared" si="11"/>
        <v>18.756244311082018</v>
      </c>
    </row>
    <row r="103" spans="1:18">
      <c r="A103">
        <f>tetto_ionofree_PR!A103</f>
        <v>28</v>
      </c>
      <c r="B103">
        <f>tetto_ionofree_PR!B103</f>
        <v>0.48333333333333334</v>
      </c>
      <c r="C103">
        <f>tetto_ionofree_PR!C103</f>
        <v>13</v>
      </c>
      <c r="D103">
        <f>tetto_ionofree_PR!D103</f>
        <v>20152002.483575363</v>
      </c>
      <c r="E103">
        <f>tetto!$D103</f>
        <v>20151999.743000001</v>
      </c>
      <c r="F103">
        <f>tetto!$G103</f>
        <v>20151997.969999999</v>
      </c>
      <c r="G103">
        <f>tetto_ionofree_PR!$E103</f>
        <v>75.167280238944556</v>
      </c>
      <c r="H103">
        <f>tetto_ionofree_PR!$L103</f>
        <v>25.730369170843687</v>
      </c>
      <c r="I103">
        <f>DEGREES(ACOS(6378*COS(RADIANS(G103))/(6378+coord!B$18)))</f>
        <v>76.060909593768912</v>
      </c>
      <c r="J103" s="7">
        <f>-(10^-16)*(E103-$D103)*(coord!$B$10*10^6)^2*SIN(RADIANS($I103))/40.3</f>
        <v>16.381300659047838</v>
      </c>
      <c r="K103">
        <f>-(10^-16)*(F103-$D103)*(coord!$B$11*10^6)^2*SIN(RADIANS($I103))/40.3</f>
        <v>16.381300647732058</v>
      </c>
      <c r="L103">
        <f>DEGREES(coord!$B$18/(6378*TAN(RADIANS(I103))))</f>
        <v>0.89186349269458665</v>
      </c>
      <c r="M103">
        <f>lat(coord!$B$2,coord!$C$2,coord!$D$2)</f>
        <v>45.411171275371856</v>
      </c>
      <c r="N103">
        <f>lon(coord!$B$2,coord!$C$2,coord!$D$2)</f>
        <v>11.896106531717408</v>
      </c>
      <c r="O103" s="7">
        <f t="shared" si="8"/>
        <v>46.213251254889066</v>
      </c>
      <c r="P103">
        <f t="shared" si="9"/>
        <v>9.7654772856462738E-3</v>
      </c>
      <c r="Q103">
        <f t="shared" si="10"/>
        <v>0.99995231658983796</v>
      </c>
      <c r="R103" s="7">
        <f t="shared" si="11"/>
        <v>12.455636058569391</v>
      </c>
    </row>
    <row r="104" spans="1:18">
      <c r="A104">
        <f>tetto_ionofree_PR!A104</f>
        <v>28</v>
      </c>
      <c r="B104">
        <f>tetto_ionofree_PR!B104</f>
        <v>0.48333333333333334</v>
      </c>
      <c r="C104">
        <f>tetto_ionofree_PR!C104</f>
        <v>7</v>
      </c>
      <c r="D104">
        <f>tetto_ionofree_PR!D104</f>
        <v>21764084.225191064</v>
      </c>
      <c r="E104">
        <f>tetto!$D104</f>
        <v>21764082.629999999</v>
      </c>
      <c r="F104">
        <f>tetto!$G104</f>
        <v>21764081.598000001</v>
      </c>
      <c r="G104">
        <f>tetto_ionofree_PR!$E104</f>
        <v>44.996474149414325</v>
      </c>
      <c r="H104">
        <f>tetto_ionofree_PR!$L104</f>
        <v>176.03658409678692</v>
      </c>
      <c r="I104">
        <f>DEGREES(ACOS(6378*COS(RADIANS(G104))/(6378+coord!B$18)))</f>
        <v>48.285583297562241</v>
      </c>
      <c r="J104" s="7">
        <f>-(10^-16)*(E104-$D104)*(coord!$B$10*10^6)^2*SIN(RADIANS($I104))/40.3</f>
        <v>7.3335318124931641</v>
      </c>
      <c r="K104">
        <f>-(10^-16)*(F104-$D104)*(coord!$B$11*10^6)^2*SIN(RADIANS($I104))/40.3</f>
        <v>7.3335318133915015</v>
      </c>
      <c r="L104">
        <f>DEGREES(coord!$B$18/(6378*TAN(RADIANS(I104))))</f>
        <v>3.2031699118749826</v>
      </c>
      <c r="M104">
        <f>lat(coord!$B$2,coord!$C$2,coord!$D$2)</f>
        <v>45.411171275371856</v>
      </c>
      <c r="N104">
        <f>lon(coord!$B$2,coord!$C$2,coord!$D$2)</f>
        <v>11.896106531717408</v>
      </c>
      <c r="O104" s="7">
        <f t="shared" si="8"/>
        <v>42.215258524490366</v>
      </c>
      <c r="P104">
        <f t="shared" si="9"/>
        <v>5.214743169454741E-3</v>
      </c>
      <c r="Q104">
        <f t="shared" si="10"/>
        <v>0.9999864031344009</v>
      </c>
      <c r="R104" s="7">
        <f t="shared" si="11"/>
        <v>12.194890660748948</v>
      </c>
    </row>
    <row r="106" spans="1:18">
      <c r="A106">
        <f>tetto_ionofree_PR!A106</f>
        <v>30</v>
      </c>
      <c r="B106">
        <f>tetto_ionofree_PR!B106</f>
        <v>0.5</v>
      </c>
      <c r="C106">
        <f>tetto_ionofree_PR!C106</f>
        <v>2</v>
      </c>
      <c r="D106">
        <f>tetto_ionofree_PR!D106</f>
        <v>22523637.771049373</v>
      </c>
      <c r="E106">
        <f>tetto!$D106</f>
        <v>22523634.405999999</v>
      </c>
      <c r="F106">
        <f>tetto!$G106</f>
        <v>22523632.228999998</v>
      </c>
      <c r="G106">
        <f>tetto_ionofree_PR!$E106</f>
        <v>31.339723781364498</v>
      </c>
      <c r="H106">
        <f>tetto_ionofree_PR!$L106</f>
        <v>-54.585133481918803</v>
      </c>
      <c r="I106">
        <f>DEGREES(ACOS(6378*COS(RADIANS(G106))/(6378+coord!B$18)))</f>
        <v>36.515657560187975</v>
      </c>
      <c r="J106" s="7">
        <f>-(10^-16)*(E106-$D106)*(coord!$B$10*10^6)^2*SIN(RADIANS($I106))/40.3</f>
        <v>12.331816254519653</v>
      </c>
      <c r="K106">
        <f>-(10^-16)*(F106-$D106)*(coord!$B$11*10^6)^2*SIN(RADIANS($I106))/40.3</f>
        <v>12.331816262746765</v>
      </c>
      <c r="L106">
        <f>DEGREES(coord!$B$18/(6378*TAN(RADIANS(I106))))</f>
        <v>4.8533436651203434</v>
      </c>
      <c r="M106">
        <f>lat(coord!$B$2,coord!$C$2,coord!$D$2)</f>
        <v>45.411171275371856</v>
      </c>
      <c r="N106">
        <f>lon(coord!$B$2,coord!$C$2,coord!$D$2)</f>
        <v>11.896106531717408</v>
      </c>
      <c r="O106" s="7">
        <f t="shared" si="8"/>
        <v>48.075684064131536</v>
      </c>
      <c r="P106">
        <f t="shared" si="9"/>
        <v>-0.10319807780282303</v>
      </c>
      <c r="Q106">
        <f t="shared" si="10"/>
        <v>0.99466082497392172</v>
      </c>
      <c r="R106" s="7">
        <f t="shared" si="11"/>
        <v>5.9727465106549182</v>
      </c>
    </row>
    <row r="107" spans="1:18">
      <c r="A107">
        <f>tetto_ionofree_PR!A107</f>
        <v>30</v>
      </c>
      <c r="B107">
        <f>tetto_ionofree_PR!B107</f>
        <v>0.5</v>
      </c>
      <c r="C107">
        <f>tetto_ionofree_PR!C107</f>
        <v>23</v>
      </c>
      <c r="D107">
        <f>tetto_ionofree_PR!D107</f>
        <v>21171106.575345639</v>
      </c>
      <c r="E107">
        <f>tetto!$D107</f>
        <v>21171101.02</v>
      </c>
      <c r="F107">
        <f>tetto!$G107</f>
        <v>21171097.425999999</v>
      </c>
      <c r="G107">
        <f>tetto_ionofree_PR!$E107</f>
        <v>50.375817594044896</v>
      </c>
      <c r="H107">
        <f>tetto_ionofree_PR!$L107</f>
        <v>57.284420792825095</v>
      </c>
      <c r="I107">
        <f>DEGREES(ACOS(6378*COS(RADIANS(G107))/(6378+coord!B$18)))</f>
        <v>53.122029114179398</v>
      </c>
      <c r="J107" s="7">
        <f>-(10^-16)*(E107-$D107)*(coord!$B$10*10^6)^2*SIN(RADIANS($I107))/40.3</f>
        <v>27.36798558701134</v>
      </c>
      <c r="K107">
        <f>-(10^-16)*(F107-$D107)*(coord!$B$11*10^6)^2*SIN(RADIANS($I107))/40.3</f>
        <v>27.367985593016332</v>
      </c>
      <c r="L107">
        <f>DEGREES(coord!$B$18/(6378*TAN(RADIANS(I107))))</f>
        <v>2.6957949454734345</v>
      </c>
      <c r="M107">
        <f>lat(coord!$B$2,coord!$C$2,coord!$D$2)</f>
        <v>45.411171275371856</v>
      </c>
      <c r="N107">
        <f>lon(coord!$B$2,coord!$C$2,coord!$D$2)</f>
        <v>11.896106531717408</v>
      </c>
      <c r="O107" s="7">
        <f t="shared" si="8"/>
        <v>46.821041883132779</v>
      </c>
      <c r="P107">
        <f t="shared" si="9"/>
        <v>5.7830159894869261E-2</v>
      </c>
      <c r="Q107">
        <f t="shared" si="10"/>
        <v>0.99832643589485981</v>
      </c>
      <c r="R107" s="7">
        <f t="shared" si="11"/>
        <v>15.211380269728489</v>
      </c>
    </row>
    <row r="108" spans="1:18">
      <c r="A108">
        <f>tetto_ionofree_PR!A108</f>
        <v>30</v>
      </c>
      <c r="B108">
        <f>tetto_ionofree_PR!B108</f>
        <v>0.5</v>
      </c>
      <c r="C108">
        <f>tetto_ionofree_PR!C108</f>
        <v>10</v>
      </c>
      <c r="D108">
        <f>tetto_ionofree_PR!D108</f>
        <v>22822322.891395882</v>
      </c>
      <c r="E108">
        <f>tetto!$D108</f>
        <v>22822322.708999999</v>
      </c>
      <c r="F108">
        <f>tetto!$G108</f>
        <v>22822322.590999998</v>
      </c>
      <c r="G108">
        <f>tetto_ionofree_PR!$E108</f>
        <v>27.20857158512402</v>
      </c>
      <c r="H108">
        <f>tetto_ionofree_PR!$L108</f>
        <v>-59.804915321889183</v>
      </c>
      <c r="I108">
        <f>DEGREES(ACOS(6378*COS(RADIANS(G108))/(6378+coord!B$18)))</f>
        <v>33.189610395160578</v>
      </c>
      <c r="J108" s="7">
        <f>-(10^-16)*(E108-$D108)*(coord!$B$10*10^6)^2*SIN(RADIANS($I108))/40.3</f>
        <v>0.61491713674473814</v>
      </c>
      <c r="K108">
        <f>-(10^-16)*(F108-$D108)*(coord!$B$11*10^6)^2*SIN(RADIANS($I108))/40.3</f>
        <v>0.61491713179223506</v>
      </c>
      <c r="L108">
        <f>DEGREES(coord!$B$18/(6378*TAN(RADIANS(I108))))</f>
        <v>5.4933703630314508</v>
      </c>
      <c r="M108">
        <f>lat(coord!$B$2,coord!$C$2,coord!$D$2)</f>
        <v>45.411171275371856</v>
      </c>
      <c r="N108">
        <f>lon(coord!$B$2,coord!$C$2,coord!$D$2)</f>
        <v>11.896106531717408</v>
      </c>
      <c r="O108" s="7">
        <f t="shared" si="8"/>
        <v>47.961262115276121</v>
      </c>
      <c r="P108">
        <f t="shared" si="9"/>
        <v>-0.12356270951424556</v>
      </c>
      <c r="Q108">
        <f t="shared" si="10"/>
        <v>0.99233676582977548</v>
      </c>
      <c r="R108" s="7">
        <f t="shared" si="11"/>
        <v>4.7983448886209574</v>
      </c>
    </row>
    <row r="109" spans="1:18">
      <c r="A109">
        <f>tetto_ionofree_PR!A109</f>
        <v>30</v>
      </c>
      <c r="B109">
        <f>tetto_ionofree_PR!B109</f>
        <v>0.5</v>
      </c>
      <c r="C109">
        <f>tetto_ionofree_PR!C109</f>
        <v>4</v>
      </c>
      <c r="D109">
        <f>tetto_ionofree_PR!D109</f>
        <v>21187860.478312153</v>
      </c>
      <c r="E109">
        <f>tetto!$D109</f>
        <v>21187859.741</v>
      </c>
      <c r="F109">
        <f>tetto!$G109</f>
        <v>21187859.263999999</v>
      </c>
      <c r="G109">
        <f>tetto_ionofree_PR!$E109</f>
        <v>54.040788467375961</v>
      </c>
      <c r="H109">
        <f>tetto_ionofree_PR!$L109</f>
        <v>245.88764449004259</v>
      </c>
      <c r="I109">
        <f>DEGREES(ACOS(6378*COS(RADIANS(G109))/(6378+coord!B$18)))</f>
        <v>56.45750289136906</v>
      </c>
      <c r="J109" s="7">
        <f>-(10^-16)*(E109-$D109)*(coord!$B$10*10^6)^2*SIN(RADIANS($I109))/40.3</f>
        <v>3.7847070149000865</v>
      </c>
      <c r="K109">
        <f>-(10^-16)*(F109-$D109)*(coord!$B$11*10^6)^2*SIN(RADIANS($I109))/40.3</f>
        <v>3.7847070168481203</v>
      </c>
      <c r="L109">
        <f>DEGREES(coord!$B$18/(6378*TAN(RADIANS(I109))))</f>
        <v>2.3822134825479062</v>
      </c>
      <c r="M109">
        <f>lat(coord!$B$2,coord!$C$2,coord!$D$2)</f>
        <v>45.411171275371856</v>
      </c>
      <c r="N109">
        <f>lon(coord!$B$2,coord!$C$2,coord!$D$2)</f>
        <v>11.896106531717408</v>
      </c>
      <c r="O109" s="7">
        <f t="shared" si="8"/>
        <v>44.397071526987581</v>
      </c>
      <c r="P109">
        <f t="shared" si="9"/>
        <v>-5.3097678814816897E-2</v>
      </c>
      <c r="Q109">
        <f t="shared" si="10"/>
        <v>0.99858932324778948</v>
      </c>
      <c r="R109" s="7">
        <f t="shared" si="11"/>
        <v>8.8524022714284669</v>
      </c>
    </row>
    <row r="110" spans="1:18">
      <c r="A110">
        <f>tetto_ionofree_PR!A110</f>
        <v>30</v>
      </c>
      <c r="B110">
        <f>tetto_ionofree_PR!B110</f>
        <v>0.5</v>
      </c>
      <c r="C110">
        <f>tetto_ionofree_PR!C110</f>
        <v>20</v>
      </c>
      <c r="D110">
        <f>tetto_ionofree_PR!D110</f>
        <v>23148444.384289823</v>
      </c>
      <c r="E110">
        <f>tetto!$D110</f>
        <v>23148443.259</v>
      </c>
      <c r="F110">
        <f>tetto!$G110</f>
        <v>23148442.530999999</v>
      </c>
      <c r="G110">
        <f>tetto_ionofree_PR!$E110</f>
        <v>25.786489597918532</v>
      </c>
      <c r="H110">
        <f>tetto_ionofree_PR!$L110</f>
        <v>117.37108396937359</v>
      </c>
      <c r="I110">
        <f>DEGREES(ACOS(6378*COS(RADIANS(G110))/(6378+coord!B$18)))</f>
        <v>32.082574852143068</v>
      </c>
      <c r="J110" s="7">
        <f>-(10^-16)*(E110-$D110)*(coord!$B$10*10^6)^2*SIN(RADIANS($I110))/40.3</f>
        <v>3.680966104878042</v>
      </c>
      <c r="K110">
        <f>-(10^-16)*(F110-$D110)*(coord!$B$11*10^6)^2*SIN(RADIANS($I110))/40.3</f>
        <v>3.6809661052418305</v>
      </c>
      <c r="L110">
        <f>DEGREES(coord!$B$18/(6378*TAN(RADIANS(I110))))</f>
        <v>5.7321439881712131</v>
      </c>
      <c r="M110">
        <f>lat(coord!$B$2,coord!$C$2,coord!$D$2)</f>
        <v>45.411171275371856</v>
      </c>
      <c r="N110">
        <f>lon(coord!$B$2,coord!$C$2,coord!$D$2)</f>
        <v>11.896106531717408</v>
      </c>
      <c r="O110" s="7">
        <f t="shared" si="8"/>
        <v>42.560323002066376</v>
      </c>
      <c r="P110">
        <f t="shared" si="9"/>
        <v>0.12041885549107936</v>
      </c>
      <c r="Q110">
        <f t="shared" si="10"/>
        <v>0.99272317351929418</v>
      </c>
      <c r="R110" s="7">
        <f t="shared" si="11"/>
        <v>18.812383059169143</v>
      </c>
    </row>
    <row r="111" spans="1:18">
      <c r="A111">
        <f>tetto_ionofree_PR!A111</f>
        <v>30</v>
      </c>
      <c r="B111">
        <f>tetto_ionofree_PR!B111</f>
        <v>0.5</v>
      </c>
      <c r="C111">
        <f>tetto_ionofree_PR!C111</f>
        <v>13</v>
      </c>
      <c r="D111">
        <f>tetto_ionofree_PR!D111</f>
        <v>20160548.815068699</v>
      </c>
      <c r="E111">
        <f>tetto!$D111</f>
        <v>20160545.855</v>
      </c>
      <c r="F111">
        <f>tetto!$G111</f>
        <v>20160543.940000001</v>
      </c>
      <c r="G111">
        <f>tetto_ionofree_PR!$E111</f>
        <v>74.764935459653586</v>
      </c>
      <c r="H111">
        <f>tetto_ionofree_PR!$L111</f>
        <v>26.767527250288985</v>
      </c>
      <c r="I111">
        <f>DEGREES(ACOS(6378*COS(RADIANS(G111))/(6378+coord!B$18)))</f>
        <v>75.683863650554684</v>
      </c>
      <c r="J111" s="7">
        <f>-(10^-16)*(E111-$D111)*(coord!$B$10*10^6)^2*SIN(RADIANS($I111))/40.3</f>
        <v>17.664001217509163</v>
      </c>
      <c r="K111">
        <f>-(10^-16)*(F111-$D111)*(coord!$B$11*10^6)^2*SIN(RADIANS($I111))/40.3</f>
        <v>17.664001214363385</v>
      </c>
      <c r="L111">
        <f>DEGREES(coord!$B$18/(6378*TAN(RADIANS(I111))))</f>
        <v>0.91700828266778034</v>
      </c>
      <c r="M111">
        <f>lat(coord!$B$2,coord!$C$2,coord!$D$2)</f>
        <v>45.411171275371856</v>
      </c>
      <c r="N111">
        <f>lon(coord!$B$2,coord!$C$2,coord!$D$2)</f>
        <v>11.896106531717408</v>
      </c>
      <c r="O111" s="7">
        <f t="shared" si="8"/>
        <v>46.228374605706023</v>
      </c>
      <c r="P111">
        <f t="shared" si="9"/>
        <v>1.0419131546799102E-2</v>
      </c>
      <c r="Q111">
        <f t="shared" si="10"/>
        <v>0.99994571937571242</v>
      </c>
      <c r="R111" s="7">
        <f t="shared" si="11"/>
        <v>12.493089597117523</v>
      </c>
    </row>
    <row r="112" spans="1:18">
      <c r="A112">
        <f>tetto_ionofree_PR!A112</f>
        <v>30</v>
      </c>
      <c r="B112">
        <f>tetto_ionofree_PR!B112</f>
        <v>0.5</v>
      </c>
      <c r="C112">
        <f>tetto_ionofree_PR!C112</f>
        <v>7</v>
      </c>
      <c r="D112">
        <f>tetto_ionofree_PR!D112</f>
        <v>21732078.528877631</v>
      </c>
      <c r="E112">
        <f>tetto!$D112</f>
        <v>21732077.164000001</v>
      </c>
      <c r="F112">
        <f>tetto!$G112</f>
        <v>21732076.280999999</v>
      </c>
      <c r="G112">
        <f>tetto_ionofree_PR!$E112</f>
        <v>45.48651305314079</v>
      </c>
      <c r="H112">
        <f>tetto_ionofree_PR!$L112</f>
        <v>175.93380700394579</v>
      </c>
      <c r="I112">
        <f>DEGREES(ACOS(6378*COS(RADIANS(G112))/(6378+coord!B$18)))</f>
        <v>48.722739847396504</v>
      </c>
      <c r="J112" s="7">
        <f>-(10^-16)*(E112-$D112)*(coord!$B$10*10^6)^2*SIN(RADIANS($I112))/40.3</f>
        <v>6.3172112494616757</v>
      </c>
      <c r="K112">
        <f>-(10^-16)*(F112-$D112)*(coord!$B$11*10^6)^2*SIN(RADIANS($I112))/40.3</f>
        <v>6.317211252890333</v>
      </c>
      <c r="L112">
        <f>DEGREES(coord!$B$18/(6378*TAN(RADIANS(I112))))</f>
        <v>3.1542988897438722</v>
      </c>
      <c r="M112">
        <f>lat(coord!$B$2,coord!$C$2,coord!$D$2)</f>
        <v>45.411171275371856</v>
      </c>
      <c r="N112">
        <f>lon(coord!$B$2,coord!$C$2,coord!$D$2)</f>
        <v>11.896106531717408</v>
      </c>
      <c r="O112" s="7">
        <f t="shared" si="8"/>
        <v>42.264400068342439</v>
      </c>
      <c r="P112">
        <f t="shared" si="9"/>
        <v>5.2723107908874012E-3</v>
      </c>
      <c r="Q112">
        <f t="shared" si="10"/>
        <v>0.99998610127287502</v>
      </c>
      <c r="R112" s="7">
        <f t="shared" si="11"/>
        <v>12.198189087838839</v>
      </c>
    </row>
    <row r="114" spans="1:18">
      <c r="A114">
        <f>tetto_ionofree_PR!A114</f>
        <v>32</v>
      </c>
      <c r="B114">
        <f>tetto_ionofree_PR!B114</f>
        <v>0.51666666666666661</v>
      </c>
      <c r="C114">
        <f>tetto_ionofree_PR!C114</f>
        <v>2</v>
      </c>
      <c r="D114">
        <f>tetto_ionofree_PR!D114</f>
        <v>22499216.827673256</v>
      </c>
      <c r="E114">
        <f>tetto!$D114</f>
        <v>22499213.019000001</v>
      </c>
      <c r="F114">
        <f>tetto!$G114</f>
        <v>22499210.555</v>
      </c>
      <c r="G114">
        <f>tetto_ionofree_PR!$E114</f>
        <v>31.609116898342656</v>
      </c>
      <c r="H114">
        <f>tetto_ionofree_PR!$L114</f>
        <v>-54.959353131869818</v>
      </c>
      <c r="I114">
        <f>DEGREES(ACOS(6378*COS(RADIANS(G114))/(6378+coord!B$18)))</f>
        <v>36.737506111778153</v>
      </c>
      <c r="J114" s="7">
        <f>-(10^-16)*(E114-$D114)*(coord!$B$10*10^6)^2*SIN(RADIANS($I114))/40.3</f>
        <v>14.030443154886592</v>
      </c>
      <c r="K114">
        <f>-(10^-16)*(F114-$D114)*(coord!$B$11*10^6)^2*SIN(RADIANS($I114))/40.3</f>
        <v>14.030443151373026</v>
      </c>
      <c r="L114">
        <f>DEGREES(coord!$B$18/(6378*TAN(RADIANS(I114))))</f>
        <v>4.8142530019557981</v>
      </c>
      <c r="M114">
        <f>lat(coord!$B$2,coord!$C$2,coord!$D$2)</f>
        <v>45.411171275371856</v>
      </c>
      <c r="N114">
        <f>lon(coord!$B$2,coord!$C$2,coord!$D$2)</f>
        <v>11.896106531717408</v>
      </c>
      <c r="O114" s="7">
        <f t="shared" si="8"/>
        <v>48.028545045711994</v>
      </c>
      <c r="P114">
        <f t="shared" si="9"/>
        <v>-0.10274797656982305</v>
      </c>
      <c r="Q114">
        <f t="shared" si="10"/>
        <v>0.99470742095895059</v>
      </c>
      <c r="R114" s="7">
        <f t="shared" si="11"/>
        <v>5.9986732344952189</v>
      </c>
    </row>
    <row r="115" spans="1:18">
      <c r="A115">
        <f>tetto_ionofree_PR!A115</f>
        <v>32</v>
      </c>
      <c r="B115">
        <f>tetto_ionofree_PR!B115</f>
        <v>0.51666666666666661</v>
      </c>
      <c r="C115">
        <f>tetto_ionofree_PR!C115</f>
        <v>23</v>
      </c>
      <c r="D115">
        <f>tetto_ionofree_PR!D115</f>
        <v>21193920.811537568</v>
      </c>
      <c r="E115">
        <f>tetto!$D115</f>
        <v>21193915.199000001</v>
      </c>
      <c r="F115">
        <f>tetto!$G115</f>
        <v>21193911.568</v>
      </c>
      <c r="G115">
        <f>tetto_ionofree_PR!$E115</f>
        <v>49.956412017986807</v>
      </c>
      <c r="H115">
        <f>tetto_ionofree_PR!$L115</f>
        <v>57.535791323448223</v>
      </c>
      <c r="I115">
        <f>DEGREES(ACOS(6378*COS(RADIANS(G115))/(6378+coord!B$18)))</f>
        <v>52.742221275991795</v>
      </c>
      <c r="J115" s="7">
        <f>-(10^-16)*(E115-$D115)*(coord!$B$10*10^6)^2*SIN(RADIANS($I115))/40.3</f>
        <v>27.511624947149397</v>
      </c>
      <c r="K115">
        <f>-(10^-16)*(F115-$D115)*(coord!$B$11*10^6)^2*SIN(RADIANS($I115))/40.3</f>
        <v>27.511624956238158</v>
      </c>
      <c r="L115">
        <f>DEGREES(coord!$B$18/(6378*TAN(RADIANS(I115))))</f>
        <v>2.7332079697500511</v>
      </c>
      <c r="M115">
        <f>lat(coord!$B$2,coord!$C$2,coord!$D$2)</f>
        <v>45.411171275371856</v>
      </c>
      <c r="N115">
        <f>lon(coord!$B$2,coord!$C$2,coord!$D$2)</f>
        <v>11.896106531717408</v>
      </c>
      <c r="O115" s="7">
        <f t="shared" si="8"/>
        <v>46.829558771737929</v>
      </c>
      <c r="P115">
        <f t="shared" si="9"/>
        <v>5.880612999983912E-2</v>
      </c>
      <c r="Q115">
        <f t="shared" si="10"/>
        <v>0.99826942208726521</v>
      </c>
      <c r="R115" s="7">
        <f t="shared" si="11"/>
        <v>15.267394573543012</v>
      </c>
    </row>
    <row r="116" spans="1:18">
      <c r="A116">
        <f>tetto_ionofree_PR!A116</f>
        <v>32</v>
      </c>
      <c r="B116">
        <f>tetto_ionofree_PR!B116</f>
        <v>0.51666666666666661</v>
      </c>
      <c r="C116">
        <f>tetto_ionofree_PR!C116</f>
        <v>10</v>
      </c>
      <c r="D116">
        <f>tetto_ionofree_PR!D116</f>
        <v>22788103.645030059</v>
      </c>
      <c r="E116">
        <f>tetto!$D116</f>
        <v>22788103.475000001</v>
      </c>
      <c r="F116">
        <f>tetto!$G116</f>
        <v>22788103.364999998</v>
      </c>
      <c r="G116">
        <f>tetto_ionofree_PR!$E116</f>
        <v>27.610268436054433</v>
      </c>
      <c r="H116">
        <f>tetto_ionofree_PR!$L116</f>
        <v>-59.643973716947016</v>
      </c>
      <c r="I116">
        <f>DEGREES(ACOS(6378*COS(RADIANS(G116))/(6378+coord!B$18)))</f>
        <v>33.506146170598555</v>
      </c>
      <c r="J116" s="7">
        <f>-(10^-16)*(E116-$D116)*(coord!$B$10*10^6)^2*SIN(RADIANS($I116))/40.3</f>
        <v>0.5780604264169632</v>
      </c>
      <c r="K116">
        <f>-(10^-16)*(F116-$D116)*(coord!$B$11*10^6)^2*SIN(RADIANS($I116))/40.3</f>
        <v>0.57806043072338664</v>
      </c>
      <c r="L116">
        <f>DEGREES(coord!$B$18/(6378*TAN(RADIANS(I116))))</f>
        <v>5.4276768794182377</v>
      </c>
      <c r="M116">
        <f>lat(coord!$B$2,coord!$C$2,coord!$D$2)</f>
        <v>45.411171275371856</v>
      </c>
      <c r="N116">
        <f>lon(coord!$B$2,coord!$C$2,coord!$D$2)</f>
        <v>11.896106531717408</v>
      </c>
      <c r="O116" s="7">
        <f t="shared" si="8"/>
        <v>47.947214440783434</v>
      </c>
      <c r="P116">
        <f t="shared" si="9"/>
        <v>-0.12185633860895793</v>
      </c>
      <c r="Q116">
        <f t="shared" si="10"/>
        <v>0.99254774834303039</v>
      </c>
      <c r="R116" s="7">
        <f t="shared" si="11"/>
        <v>4.8968572467693114</v>
      </c>
    </row>
    <row r="117" spans="1:18">
      <c r="A117">
        <f>tetto_ionofree_PR!A117</f>
        <v>32</v>
      </c>
      <c r="B117">
        <f>tetto_ionofree_PR!B117</f>
        <v>0.51666666666666661</v>
      </c>
      <c r="C117">
        <f>tetto_ionofree_PR!C117</f>
        <v>4</v>
      </c>
      <c r="D117">
        <f>tetto_ionofree_PR!D117</f>
        <v>21200377.319717038</v>
      </c>
      <c r="E117">
        <f>tetto!$D117</f>
        <v>21200376.348999999</v>
      </c>
      <c r="F117">
        <f>tetto!$G117</f>
        <v>21200375.721000001</v>
      </c>
      <c r="G117">
        <f>tetto_ionofree_PR!$E117</f>
        <v>53.841584896668415</v>
      </c>
      <c r="H117">
        <f>tetto_ionofree_PR!$L117</f>
        <v>245.14009791352217</v>
      </c>
      <c r="I117">
        <f>DEGREES(ACOS(6378*COS(RADIANS(G117))/(6378+coord!B$18)))</f>
        <v>56.275499991599105</v>
      </c>
      <c r="J117" s="7">
        <f>-(10^-16)*(E117-$D117)*(coord!$B$10*10^6)^2*SIN(RADIANS($I117))/40.3</f>
        <v>4.9722823874819015</v>
      </c>
      <c r="K117">
        <f>-(10^-16)*(F117-$D117)*(coord!$B$11*10^6)^2*SIN(RADIANS($I117))/40.3</f>
        <v>4.9722823972690966</v>
      </c>
      <c r="L117">
        <f>DEGREES(coord!$B$18/(6378*TAN(RADIANS(I117))))</f>
        <v>2.3986793408676981</v>
      </c>
      <c r="M117">
        <f>lat(coord!$B$2,coord!$C$2,coord!$D$2)</f>
        <v>45.411171275371856</v>
      </c>
      <c r="N117">
        <f>lon(coord!$B$2,coord!$C$2,coord!$D$2)</f>
        <v>11.896106531717408</v>
      </c>
      <c r="O117" s="7">
        <f t="shared" si="8"/>
        <v>44.361819433641877</v>
      </c>
      <c r="P117">
        <f t="shared" si="9"/>
        <v>-5.3115731281493418E-2</v>
      </c>
      <c r="Q117">
        <f t="shared" si="10"/>
        <v>0.99858836318596889</v>
      </c>
      <c r="R117" s="7">
        <f t="shared" si="11"/>
        <v>8.8513664796134854</v>
      </c>
    </row>
    <row r="118" spans="1:18">
      <c r="A118">
        <f>tetto_ionofree_PR!A118</f>
        <v>32</v>
      </c>
      <c r="B118">
        <f>tetto_ionofree_PR!B118</f>
        <v>0.51666666666666661</v>
      </c>
      <c r="C118">
        <f>tetto_ionofree_PR!C118</f>
        <v>20</v>
      </c>
      <c r="D118">
        <f>tetto_ionofree_PR!D118</f>
        <v>23183934.658016741</v>
      </c>
      <c r="E118">
        <f>tetto!$D118</f>
        <v>23183934.048999999</v>
      </c>
      <c r="F118">
        <f>tetto!$G118</f>
        <v>23183933.655000001</v>
      </c>
      <c r="G118">
        <f>tetto_ionofree_PR!$E118</f>
        <v>25.401892884187035</v>
      </c>
      <c r="H118">
        <f>tetto_ionofree_PR!$L118</f>
        <v>117.64017458229696</v>
      </c>
      <c r="I118">
        <f>DEGREES(ACOS(6378*COS(RADIANS(G118))/(6378+coord!B$18)))</f>
        <v>31.787012927778015</v>
      </c>
      <c r="J118" s="7">
        <f>-(10^-16)*(E118-$D118)*(coord!$B$10*10^6)^2*SIN(RADIANS($I118))/40.3</f>
        <v>1.9757512807380917</v>
      </c>
      <c r="K118">
        <f>-(10^-16)*(F118-$D118)*(coord!$B$11*10^6)^2*SIN(RADIANS($I118))/40.3</f>
        <v>1.9757512794681904</v>
      </c>
      <c r="L118">
        <f>DEGREES(coord!$B$18/(6378*TAN(RADIANS(I118))))</f>
        <v>5.7983956680555275</v>
      </c>
      <c r="M118">
        <f>lat(coord!$B$2,coord!$C$2,coord!$D$2)</f>
        <v>45.411171275371856</v>
      </c>
      <c r="N118">
        <f>lon(coord!$B$2,coord!$C$2,coord!$D$2)</f>
        <v>11.896106531717408</v>
      </c>
      <c r="O118" s="7">
        <f t="shared" ref="O118:O181" si="12">DEGREES(ASIN(SIN(RADIANS(M118))*COS(RADIANS(L118))+COS(RADIANS(M118))*SIN(RADIANS(L118))*COS(RADIANS(H118))))</f>
        <v>42.502050090995702</v>
      </c>
      <c r="P118">
        <f t="shared" ref="P118:P181" si="13">SIN(RADIANS(L118))*SIN(RADIANS(H118))/COS(RADIANS(O118))</f>
        <v>0.12139510256562672</v>
      </c>
      <c r="Q118">
        <f t="shared" ref="Q118:Q181" si="14">(COS(RADIANS(L118))-SIN(RADIANS(M118))*SIN(RADIANS(O118)))/(COS(RADIANS(M118))*COS(RADIANS(O118)))</f>
        <v>0.99260426609655539</v>
      </c>
      <c r="R118" s="7">
        <f t="shared" ref="R118:R181" si="15">N118+DEGREES(ATAN2(Q118,P118))</f>
        <v>18.868731278116886</v>
      </c>
    </row>
    <row r="119" spans="1:18">
      <c r="A119">
        <f>tetto_ionofree_PR!A119</f>
        <v>32</v>
      </c>
      <c r="B119">
        <f>tetto_ionofree_PR!B119</f>
        <v>0.51666666666666661</v>
      </c>
      <c r="C119">
        <f>tetto_ionofree_PR!C119</f>
        <v>13</v>
      </c>
      <c r="D119">
        <f>tetto_ionofree_PR!D119</f>
        <v>20169382.609118078</v>
      </c>
      <c r="E119">
        <f>tetto!$D119</f>
        <v>20169379.884</v>
      </c>
      <c r="F119">
        <f>tetto!$G119</f>
        <v>20169378.120999999</v>
      </c>
      <c r="G119">
        <f>tetto_ionofree_PR!$E119</f>
        <v>74.360638822179084</v>
      </c>
      <c r="H119">
        <f>tetto_ionofree_PR!$L119</f>
        <v>27.76375310163958</v>
      </c>
      <c r="I119">
        <f>DEGREES(ACOS(6378*COS(RADIANS(G119))/(6378+coord!B$18)))</f>
        <v>75.30507719664179</v>
      </c>
      <c r="J119" s="7">
        <f>-(10^-16)*(E119-$D119)*(coord!$B$10*10^6)^2*SIN(RADIANS($I119))/40.3</f>
        <v>16.234158860848073</v>
      </c>
      <c r="K119">
        <f>-(10^-16)*(F119-$D119)*(coord!$B$11*10^6)^2*SIN(RADIANS($I119))/40.3</f>
        <v>16.23415885745689</v>
      </c>
      <c r="L119">
        <f>DEGREES(coord!$B$18/(6378*TAN(RADIANS(I119))))</f>
        <v>0.94235433435158555</v>
      </c>
      <c r="M119">
        <f>lat(coord!$B$2,coord!$C$2,coord!$D$2)</f>
        <v>45.411171275371856</v>
      </c>
      <c r="N119">
        <f>lon(coord!$B$2,coord!$C$2,coord!$D$2)</f>
        <v>11.896106531717408</v>
      </c>
      <c r="O119" s="7">
        <f t="shared" si="12"/>
        <v>46.243298013417359</v>
      </c>
      <c r="P119">
        <f t="shared" si="13"/>
        <v>1.10775360865784E-2</v>
      </c>
      <c r="Q119">
        <f t="shared" si="14"/>
        <v>0.99993864221473627</v>
      </c>
      <c r="R119" s="7">
        <f t="shared" si="15"/>
        <v>12.530815578382448</v>
      </c>
    </row>
    <row r="120" spans="1:18">
      <c r="A120">
        <f>tetto_ionofree_PR!A120</f>
        <v>32</v>
      </c>
      <c r="B120">
        <f>tetto_ionofree_PR!B120</f>
        <v>0.51666666666666661</v>
      </c>
      <c r="C120">
        <f>tetto_ionofree_PR!C120</f>
        <v>7</v>
      </c>
      <c r="D120">
        <f>tetto_ionofree_PR!D120</f>
        <v>21700378.435502786</v>
      </c>
      <c r="E120">
        <f>tetto!$D120</f>
        <v>21700377.134</v>
      </c>
      <c r="F120">
        <f>tetto!$G120</f>
        <v>21700376.291999999</v>
      </c>
      <c r="G120">
        <f>tetto_ionofree_PR!$E120</f>
        <v>45.976938862991531</v>
      </c>
      <c r="H120">
        <f>tetto_ionofree_PR!$L120</f>
        <v>175.82779418315499</v>
      </c>
      <c r="I120">
        <f>DEGREES(ACOS(6378*COS(RADIANS(G120))/(6378+coord!B$18)))</f>
        <v>49.160988655172559</v>
      </c>
      <c r="J120" s="7">
        <f>-(10^-16)*(E120-$D120)*(coord!$B$10*10^6)^2*SIN(RADIANS($I120))/40.3</f>
        <v>6.0641563531696177</v>
      </c>
      <c r="K120">
        <f>-(10^-16)*(F120-$D120)*(coord!$B$11*10^6)^2*SIN(RADIANS($I120))/40.3</f>
        <v>6.0641563615833896</v>
      </c>
      <c r="L120">
        <f>DEGREES(coord!$B$18/(6378*TAN(RADIANS(I120))))</f>
        <v>3.1059584787297791</v>
      </c>
      <c r="M120">
        <f>lat(coord!$B$2,coord!$C$2,coord!$D$2)</f>
        <v>45.411171275371856</v>
      </c>
      <c r="N120">
        <f>lon(coord!$B$2,coord!$C$2,coord!$D$2)</f>
        <v>11.896106531717408</v>
      </c>
      <c r="O120" s="7">
        <f t="shared" si="12"/>
        <v>42.313022613183847</v>
      </c>
      <c r="P120">
        <f t="shared" si="13"/>
        <v>5.3308219387970318E-3</v>
      </c>
      <c r="Q120">
        <f t="shared" si="14"/>
        <v>0.99998579106778174</v>
      </c>
      <c r="R120" s="7">
        <f t="shared" si="15"/>
        <v>12.201541576782878</v>
      </c>
    </row>
    <row r="122" spans="1:18">
      <c r="A122">
        <f>tetto_ionofree_PR!A122</f>
        <v>34</v>
      </c>
      <c r="B122">
        <f>tetto_ionofree_PR!B122</f>
        <v>0.53333333333333333</v>
      </c>
      <c r="C122">
        <f>tetto_ionofree_PR!C122</f>
        <v>2</v>
      </c>
      <c r="D122">
        <f>tetto_ionofree_PR!D122</f>
        <v>22475170.173530705</v>
      </c>
      <c r="E122">
        <f>tetto!$D122</f>
        <v>22475166.657000002</v>
      </c>
      <c r="F122">
        <f>tetto!$G122</f>
        <v>22475164.381999999</v>
      </c>
      <c r="G122">
        <f>tetto_ionofree_PR!$E122</f>
        <v>31.875077012959792</v>
      </c>
      <c r="H122">
        <f>tetto_ionofree_PR!$L122</f>
        <v>-55.339450448787318</v>
      </c>
      <c r="I122">
        <f>DEGREES(ACOS(6378*COS(RADIANS(G122))/(6378+coord!B$18)))</f>
        <v>36.957060564416579</v>
      </c>
      <c r="J122" s="7">
        <f>-(10^-16)*(E122-$D122)*(coord!$B$10*10^6)^2*SIN(RADIANS($I122))/40.3</f>
        <v>13.020655373101754</v>
      </c>
      <c r="K122">
        <f>-(10^-16)*(F122-$D122)*(coord!$B$11*10^6)^2*SIN(RADIANS($I122))/40.3</f>
        <v>13.020655372480585</v>
      </c>
      <c r="L122">
        <f>DEGREES(coord!$B$18/(6378*TAN(RADIANS(I122))))</f>
        <v>4.7759638378070761</v>
      </c>
      <c r="M122">
        <f>lat(coord!$B$2,coord!$C$2,coord!$D$2)</f>
        <v>45.411171275371856</v>
      </c>
      <c r="N122">
        <f>lon(coord!$B$2,coord!$C$2,coord!$D$2)</f>
        <v>11.896106531717408</v>
      </c>
      <c r="O122" s="7">
        <f t="shared" si="12"/>
        <v>47.98171620556375</v>
      </c>
      <c r="P122">
        <f t="shared" si="13"/>
        <v>-0.10231172397331291</v>
      </c>
      <c r="Q122">
        <f t="shared" si="14"/>
        <v>0.99475238684690181</v>
      </c>
      <c r="R122" s="7">
        <f t="shared" si="15"/>
        <v>6.0238010929047743</v>
      </c>
    </row>
    <row r="123" spans="1:18">
      <c r="A123">
        <f>tetto_ionofree_PR!A123</f>
        <v>34</v>
      </c>
      <c r="B123">
        <f>tetto_ionofree_PR!B123</f>
        <v>0.53333333333333333</v>
      </c>
      <c r="C123">
        <f>tetto_ionofree_PR!C123</f>
        <v>23</v>
      </c>
      <c r="D123">
        <f>tetto_ionofree_PR!D123</f>
        <v>21216932.508171745</v>
      </c>
      <c r="E123">
        <f>tetto!$D123</f>
        <v>21216926.908</v>
      </c>
      <c r="F123">
        <f>tetto!$G123</f>
        <v>21216923.285</v>
      </c>
      <c r="G123">
        <f>tetto_ionofree_PR!$E123</f>
        <v>49.537975889688923</v>
      </c>
      <c r="H123">
        <f>tetto_ionofree_PR!$L123</f>
        <v>57.787875432985189</v>
      </c>
      <c r="I123">
        <f>DEGREES(ACOS(6378*COS(RADIANS(G123))/(6378+coord!B$18)))</f>
        <v>52.363712150552317</v>
      </c>
      <c r="J123" s="7">
        <f>-(10^-16)*(E123-$D123)*(coord!$B$10*10^6)^2*SIN(RADIANS($I123))/40.3</f>
        <v>27.312473104972185</v>
      </c>
      <c r="K123">
        <f>-(10^-16)*(F123-$D123)*(coord!$B$11*10^6)^2*SIN(RADIANS($I123))/40.3</f>
        <v>27.31247310918873</v>
      </c>
      <c r="L123">
        <f>DEGREES(coord!$B$18/(6378*TAN(RADIANS(I123))))</f>
        <v>2.7708703128728613</v>
      </c>
      <c r="M123">
        <f>lat(coord!$B$2,coord!$C$2,coord!$D$2)</f>
        <v>45.411171275371856</v>
      </c>
      <c r="N123">
        <f>lon(coord!$B$2,coord!$C$2,coord!$D$2)</f>
        <v>11.896106531717408</v>
      </c>
      <c r="O123" s="7">
        <f t="shared" si="12"/>
        <v>46.837831804908554</v>
      </c>
      <c r="P123">
        <f t="shared" si="13"/>
        <v>5.9791317908293964E-2</v>
      </c>
      <c r="Q123">
        <f t="shared" si="14"/>
        <v>0.99821089870968127</v>
      </c>
      <c r="R123" s="7">
        <f t="shared" si="15"/>
        <v>15.323941191120021</v>
      </c>
    </row>
    <row r="124" spans="1:18">
      <c r="A124">
        <f>tetto_ionofree_PR!A124</f>
        <v>34</v>
      </c>
      <c r="B124">
        <f>tetto_ionofree_PR!B124</f>
        <v>0.53333333333333333</v>
      </c>
      <c r="C124">
        <f>tetto_ionofree_PR!C124</f>
        <v>10</v>
      </c>
      <c r="D124">
        <f>tetto_ionofree_PR!D124</f>
        <v>22753999.908006012</v>
      </c>
      <c r="E124">
        <f>tetto!$D124</f>
        <v>22753999.874000002</v>
      </c>
      <c r="F124">
        <f>tetto!$G124</f>
        <v>22753999.852000002</v>
      </c>
      <c r="G124">
        <f>tetto_ionofree_PR!$E124</f>
        <v>28.012971764058371</v>
      </c>
      <c r="H124">
        <f>tetto_ionofree_PR!$L124</f>
        <v>-59.484965473431942</v>
      </c>
      <c r="I124">
        <f>DEGREES(ACOS(6378*COS(RADIANS(G124))/(6378+coord!B$18)))</f>
        <v>33.825080158407353</v>
      </c>
      <c r="J124" s="7">
        <f>-(10^-16)*(E124-$D124)*(coord!$B$10*10^6)^2*SIN(RADIANS($I124))/40.3</f>
        <v>0.11658235599531119</v>
      </c>
      <c r="K124">
        <f>-(10^-16)*(F124-$D124)*(coord!$B$11*10^6)^2*SIN(RADIANS($I124))/40.3</f>
        <v>0.11658235631626465</v>
      </c>
      <c r="L124">
        <f>DEGREES(coord!$B$18/(6378*TAN(RADIANS(I124))))</f>
        <v>5.3625853186422141</v>
      </c>
      <c r="M124">
        <f>lat(coord!$B$2,coord!$C$2,coord!$D$2)</f>
        <v>45.411171275371856</v>
      </c>
      <c r="N124">
        <f>lon(coord!$B$2,coord!$C$2,coord!$D$2)</f>
        <v>11.896106531717408</v>
      </c>
      <c r="O124" s="7">
        <f t="shared" si="12"/>
        <v>47.932828246207748</v>
      </c>
      <c r="P124">
        <f t="shared" si="13"/>
        <v>-0.12016967003608668</v>
      </c>
      <c r="Q124">
        <f t="shared" si="14"/>
        <v>0.99275336836669459</v>
      </c>
      <c r="R124" s="7">
        <f t="shared" si="15"/>
        <v>4.994211715165771</v>
      </c>
    </row>
    <row r="125" spans="1:18">
      <c r="A125">
        <f>tetto_ionofree_PR!A125</f>
        <v>34</v>
      </c>
      <c r="B125">
        <f>tetto_ionofree_PR!B125</f>
        <v>0.53333333333333333</v>
      </c>
      <c r="C125">
        <f>tetto_ionofree_PR!C125</f>
        <v>4</v>
      </c>
      <c r="D125">
        <f>tetto_ionofree_PR!D125</f>
        <v>21213316.525766425</v>
      </c>
      <c r="E125">
        <f>tetto!$D125</f>
        <v>21213315.789999999</v>
      </c>
      <c r="F125">
        <f>tetto!$G125</f>
        <v>21213315.313999999</v>
      </c>
      <c r="G125">
        <f>tetto_ionofree_PR!$E125</f>
        <v>53.635295107346593</v>
      </c>
      <c r="H125">
        <f>tetto_ionofree_PR!$L125</f>
        <v>244.40144556959839</v>
      </c>
      <c r="I125">
        <f>DEGREES(ACOS(6378*COS(RADIANS(G125))/(6378+coord!B$18)))</f>
        <v>56.08710344860873</v>
      </c>
      <c r="J125" s="7">
        <f>-(10^-16)*(E125-$D125)*(coord!$B$10*10^6)^2*SIN(RADIANS($I125))/40.3</f>
        <v>3.76050738352119</v>
      </c>
      <c r="K125">
        <f>-(10^-16)*(F125-$D125)*(coord!$B$11*10^6)^2*SIN(RADIANS($I125))/40.3</f>
        <v>3.7605073781133083</v>
      </c>
      <c r="L125">
        <f>DEGREES(coord!$B$18/(6378*TAN(RADIANS(I125))))</f>
        <v>2.4157973532952068</v>
      </c>
      <c r="M125">
        <f>lat(coord!$B$2,coord!$C$2,coord!$D$2)</f>
        <v>45.411171275371856</v>
      </c>
      <c r="N125">
        <f>lon(coord!$B$2,coord!$C$2,coord!$D$2)</f>
        <v>11.896106531717408</v>
      </c>
      <c r="O125" s="7">
        <f t="shared" si="12"/>
        <v>44.326398150917946</v>
      </c>
      <c r="P125">
        <f t="shared" si="13"/>
        <v>-5.313847327666036E-2</v>
      </c>
      <c r="Q125">
        <f t="shared" si="14"/>
        <v>0.99858715326095882</v>
      </c>
      <c r="R125" s="7">
        <f t="shared" si="15"/>
        <v>8.8500616164905548</v>
      </c>
    </row>
    <row r="126" spans="1:18">
      <c r="A126">
        <f>tetto_ionofree_PR!A126</f>
        <v>34</v>
      </c>
      <c r="B126">
        <f>tetto_ionofree_PR!B126</f>
        <v>0.53333333333333333</v>
      </c>
      <c r="C126">
        <f>tetto_ionofree_PR!C126</f>
        <v>20</v>
      </c>
      <c r="D126">
        <f>tetto_ionofree_PR!D126</f>
        <v>23219578.009830825</v>
      </c>
      <c r="E126">
        <f>tetto!$D126</f>
        <v>23219577.423999999</v>
      </c>
      <c r="F126">
        <f>tetto!$G126</f>
        <v>23219577.045000002</v>
      </c>
      <c r="G126">
        <f>tetto_ionofree_PR!$E126</f>
        <v>25.017496056405548</v>
      </c>
      <c r="H126">
        <f>tetto_ionofree_PR!$L126</f>
        <v>117.90758723902221</v>
      </c>
      <c r="I126">
        <f>DEGREES(ACOS(6378*COS(RADIANS(G126))/(6378+coord!B$18)))</f>
        <v>31.493323074081832</v>
      </c>
      <c r="J126" s="7">
        <f>-(10^-16)*(E126-$D126)*(coord!$B$10*10^6)^2*SIN(RADIANS($I126))/40.3</f>
        <v>1.8847874703199885</v>
      </c>
      <c r="K126">
        <f>-(10^-16)*(F126-$D126)*(coord!$B$11*10^6)^2*SIN(RADIANS($I126))/40.3</f>
        <v>1.8847874673180947</v>
      </c>
      <c r="L126">
        <f>DEGREES(coord!$B$18/(6378*TAN(RADIANS(I126))))</f>
        <v>5.8653293379910654</v>
      </c>
      <c r="M126">
        <f>lat(coord!$B$2,coord!$C$2,coord!$D$2)</f>
        <v>45.411171275371856</v>
      </c>
      <c r="N126">
        <f>lon(coord!$B$2,coord!$C$2,coord!$D$2)</f>
        <v>11.896106531717408</v>
      </c>
      <c r="O126" s="7">
        <f t="shared" si="12"/>
        <v>42.443070700861469</v>
      </c>
      <c r="P126">
        <f t="shared" si="13"/>
        <v>0.12237472416381955</v>
      </c>
      <c r="Q126">
        <f t="shared" si="14"/>
        <v>0.99248396807496553</v>
      </c>
      <c r="R126" s="7">
        <f t="shared" si="15"/>
        <v>18.925281085398769</v>
      </c>
    </row>
    <row r="127" spans="1:18">
      <c r="A127">
        <f>tetto_ionofree_PR!A127</f>
        <v>34</v>
      </c>
      <c r="B127">
        <f>tetto_ionofree_PR!B127</f>
        <v>0.53333333333333333</v>
      </c>
      <c r="C127">
        <f>tetto_ionofree_PR!C127</f>
        <v>13</v>
      </c>
      <c r="D127">
        <f>tetto_ionofree_PR!D127</f>
        <v>20178507.7349502</v>
      </c>
      <c r="E127">
        <f>tetto!$D127</f>
        <v>20178504.931000002</v>
      </c>
      <c r="F127">
        <f>tetto!$G127</f>
        <v>20178503.116999999</v>
      </c>
      <c r="G127">
        <f>tetto_ionofree_PR!$E127</f>
        <v>73.95461061370581</v>
      </c>
      <c r="H127">
        <f>tetto_ionofree_PR!$L127</f>
        <v>28.722039509069702</v>
      </c>
      <c r="I127">
        <f>DEGREES(ACOS(6378*COS(RADIANS(G127))/(6378+coord!B$18)))</f>
        <v>74.924760618747356</v>
      </c>
      <c r="J127" s="7">
        <f>-(10^-16)*(E127-$D127)*(coord!$B$10*10^6)^2*SIN(RADIANS($I127))/40.3</f>
        <v>16.674335004019607</v>
      </c>
      <c r="K127">
        <f>-(10^-16)*(F127-$D127)*(coord!$B$11*10^6)^2*SIN(RADIANS($I127))/40.3</f>
        <v>16.674335003832784</v>
      </c>
      <c r="L127">
        <f>DEGREES(coord!$B$18/(6378*TAN(RADIANS(I127))))</f>
        <v>0.96789135197183429</v>
      </c>
      <c r="M127">
        <f>lat(coord!$B$2,coord!$C$2,coord!$D$2)</f>
        <v>45.411171275371856</v>
      </c>
      <c r="N127">
        <f>lon(coord!$B$2,coord!$C$2,coord!$D$2)</f>
        <v>11.896106531717408</v>
      </c>
      <c r="O127" s="7">
        <f t="shared" si="12"/>
        <v>46.258020544451739</v>
      </c>
      <c r="P127">
        <f t="shared" si="13"/>
        <v>1.1740723360727083E-2</v>
      </c>
      <c r="Q127">
        <f t="shared" si="14"/>
        <v>0.99993107533217851</v>
      </c>
      <c r="R127" s="7">
        <f t="shared" si="15"/>
        <v>12.568815884211627</v>
      </c>
    </row>
    <row r="128" spans="1:18">
      <c r="A128">
        <f>tetto_ionofree_PR!A128</f>
        <v>34</v>
      </c>
      <c r="B128">
        <f>tetto_ionofree_PR!B128</f>
        <v>0.53333333333333333</v>
      </c>
      <c r="C128">
        <f>tetto_ionofree_PR!C128</f>
        <v>7</v>
      </c>
      <c r="D128">
        <f>tetto_ionofree_PR!D128</f>
        <v>21668976.668700732</v>
      </c>
      <c r="E128">
        <f>tetto!$D128</f>
        <v>21668975.276000001</v>
      </c>
      <c r="F128">
        <f>tetto!$G128</f>
        <v>21668974.375</v>
      </c>
      <c r="G128">
        <f>tetto_ionofree_PR!$E128</f>
        <v>46.467723805399295</v>
      </c>
      <c r="H128">
        <f>tetto_ionofree_PR!$L128</f>
        <v>175.71839366248867</v>
      </c>
      <c r="I128">
        <f>DEGREES(ACOS(6378*COS(RADIANS(G128))/(6378+coord!B$18)))</f>
        <v>49.600285388206345</v>
      </c>
      <c r="J128" s="7">
        <f>-(10^-16)*(E128-$D128)*(coord!$B$10*10^6)^2*SIN(RADIANS($I128))/40.3</f>
        <v>6.5318930052859319</v>
      </c>
      <c r="K128">
        <f>-(10^-16)*(F128-$D128)*(coord!$B$11*10^6)^2*SIN(RADIANS($I128))/40.3</f>
        <v>6.5318930034470881</v>
      </c>
      <c r="L128">
        <f>DEGREES(coord!$B$18/(6378*TAN(RADIANS(I128))))</f>
        <v>3.0581397556973915</v>
      </c>
      <c r="M128">
        <f>lat(coord!$B$2,coord!$C$2,coord!$D$2)</f>
        <v>45.411171275371856</v>
      </c>
      <c r="N128">
        <f>lon(coord!$B$2,coord!$C$2,coord!$D$2)</f>
        <v>11.896106531717408</v>
      </c>
      <c r="O128" s="7">
        <f t="shared" si="12"/>
        <v>42.36113575515575</v>
      </c>
      <c r="P128">
        <f t="shared" si="13"/>
        <v>5.390328660448235E-3</v>
      </c>
      <c r="Q128">
        <f t="shared" si="14"/>
        <v>0.99998547207293587</v>
      </c>
      <c r="R128" s="7">
        <f t="shared" si="15"/>
        <v>12.204951109774781</v>
      </c>
    </row>
    <row r="130" spans="1:18">
      <c r="A130">
        <f>tetto_ionofree_PR!A130</f>
        <v>36</v>
      </c>
      <c r="B130">
        <f>tetto_ionofree_PR!B130</f>
        <v>0.55000000000000004</v>
      </c>
      <c r="C130">
        <f>tetto_ionofree_PR!C130</f>
        <v>2</v>
      </c>
      <c r="D130">
        <f>tetto_ionofree_PR!D130</f>
        <v>22451510.390850149</v>
      </c>
      <c r="E130">
        <f>tetto!$D130</f>
        <v>22451506.609999999</v>
      </c>
      <c r="F130">
        <f>tetto!$G130</f>
        <v>22451504.164000001</v>
      </c>
      <c r="G130">
        <f>tetto_ionofree_PR!$E130</f>
        <v>32.137526737048816</v>
      </c>
      <c r="H130">
        <f>tetto_ionofree_PR!$L130</f>
        <v>-55.72543052035806</v>
      </c>
      <c r="I130">
        <f>DEGREES(ACOS(6378*COS(RADIANS(G130))/(6378+coord!B$18)))</f>
        <v>37.174226926287794</v>
      </c>
      <c r="J130" s="7">
        <f>-(10^-16)*(E130-$D130)*(coord!$B$10*10^6)^2*SIN(RADIANS($I130))/40.3</f>
        <v>14.069774660891772</v>
      </c>
      <c r="K130">
        <f>-(10^-16)*(F130-$D130)*(coord!$B$11*10^6)^2*SIN(RADIANS($I130))/40.3</f>
        <v>14.069774658586335</v>
      </c>
      <c r="L130">
        <f>DEGREES(coord!$B$18/(6378*TAN(RADIANS(I130))))</f>
        <v>4.7384729080663206</v>
      </c>
      <c r="M130">
        <f>lat(coord!$B$2,coord!$C$2,coord!$D$2)</f>
        <v>45.411171275371856</v>
      </c>
      <c r="N130">
        <f>lon(coord!$B$2,coord!$C$2,coord!$D$2)</f>
        <v>11.896106531717408</v>
      </c>
      <c r="O130" s="7">
        <f t="shared" si="12"/>
        <v>47.935191291603921</v>
      </c>
      <c r="P130">
        <f t="shared" si="13"/>
        <v>-0.10188913836112956</v>
      </c>
      <c r="Q130">
        <f t="shared" si="14"/>
        <v>0.99479575968337675</v>
      </c>
      <c r="R130" s="7">
        <f t="shared" si="15"/>
        <v>6.048140661403453</v>
      </c>
    </row>
    <row r="131" spans="1:18">
      <c r="A131">
        <f>tetto_ionofree_PR!A131</f>
        <v>36</v>
      </c>
      <c r="B131">
        <f>tetto_ionofree_PR!B131</f>
        <v>0.55000000000000004</v>
      </c>
      <c r="C131">
        <f>tetto_ionofree_PR!C131</f>
        <v>23</v>
      </c>
      <c r="D131">
        <f>tetto_ionofree_PR!D131</f>
        <v>21240133.381958783</v>
      </c>
      <c r="E131">
        <f>tetto!$D131</f>
        <v>21240127.958000001</v>
      </c>
      <c r="F131">
        <f>tetto!$G131</f>
        <v>21240124.449000001</v>
      </c>
      <c r="G131">
        <f>tetto_ionofree_PR!$E131</f>
        <v>49.120508263852258</v>
      </c>
      <c r="H131">
        <f>tetto_ionofree_PR!$L131</f>
        <v>58.040661737654659</v>
      </c>
      <c r="I131">
        <f>DEGREES(ACOS(6378*COS(RADIANS(G131))/(6378+coord!B$18)))</f>
        <v>51.986508053016721</v>
      </c>
      <c r="J131" s="7">
        <f>-(10^-16)*(E131-$D131)*(coord!$B$10*10^6)^2*SIN(RADIANS($I131))/40.3</f>
        <v>26.318205178485673</v>
      </c>
      <c r="K131">
        <f>-(10^-16)*(F131-$D131)*(coord!$B$11*10^6)^2*SIN(RADIANS($I131))/40.3</f>
        <v>26.31820517445831</v>
      </c>
      <c r="L131">
        <f>DEGREES(coord!$B$18/(6378*TAN(RADIANS(I131))))</f>
        <v>2.8087864860788732</v>
      </c>
      <c r="M131">
        <f>lat(coord!$B$2,coord!$C$2,coord!$D$2)</f>
        <v>45.411171275371856</v>
      </c>
      <c r="N131">
        <f>lon(coord!$B$2,coord!$C$2,coord!$D$2)</f>
        <v>11.896106531717408</v>
      </c>
      <c r="O131" s="7">
        <f t="shared" si="12"/>
        <v>46.845857741034202</v>
      </c>
      <c r="P131">
        <f t="shared" si="13"/>
        <v>6.0785803693046009E-2</v>
      </c>
      <c r="Q131">
        <f t="shared" si="14"/>
        <v>0.99815083332600107</v>
      </c>
      <c r="R131" s="7">
        <f t="shared" si="15"/>
        <v>15.381024867514395</v>
      </c>
    </row>
    <row r="132" spans="1:18">
      <c r="A132">
        <f>tetto_ionofree_PR!A132</f>
        <v>36</v>
      </c>
      <c r="B132">
        <f>tetto_ionofree_PR!B132</f>
        <v>0.55000000000000004</v>
      </c>
      <c r="C132">
        <f>tetto_ionofree_PR!C132</f>
        <v>10</v>
      </c>
      <c r="D132">
        <f>tetto_ionofree_PR!D132</f>
        <v>22720022.778889224</v>
      </c>
      <c r="E132">
        <f>tetto!$D132</f>
        <v>22720022.377</v>
      </c>
      <c r="F132">
        <f>tetto!$G132</f>
        <v>22720022.116999999</v>
      </c>
      <c r="G132">
        <f>tetto_ionofree_PR!$E132</f>
        <v>28.416680697308969</v>
      </c>
      <c r="H132">
        <f>tetto_ionofree_PR!$L132</f>
        <v>-59.327924931898991</v>
      </c>
      <c r="I132">
        <f>DEGREES(ACOS(6378*COS(RADIANS(G132))/(6378+coord!B$18)))</f>
        <v>34.146377948661957</v>
      </c>
      <c r="J132" s="7">
        <f>-(10^-16)*(E132-$D132)*(coord!$B$10*10^6)^2*SIN(RADIANS($I132))/40.3</f>
        <v>1.3893001850714028</v>
      </c>
      <c r="K132">
        <f>-(10^-16)*(F132-$D132)*(coord!$B$11*10^6)^2*SIN(RADIANS($I132))/40.3</f>
        <v>1.3893001874758546</v>
      </c>
      <c r="L132">
        <f>DEGREES(coord!$B$18/(6378*TAN(RADIANS(I132))))</f>
        <v>5.2980957618408739</v>
      </c>
      <c r="M132">
        <f>lat(coord!$B$2,coord!$C$2,coord!$D$2)</f>
        <v>45.411171275371856</v>
      </c>
      <c r="N132">
        <f>lon(coord!$B$2,coord!$C$2,coord!$D$2)</f>
        <v>11.896106531717408</v>
      </c>
      <c r="O132" s="7">
        <f t="shared" si="12"/>
        <v>47.918115172072248</v>
      </c>
      <c r="P132">
        <f t="shared" si="13"/>
        <v>-0.11850271503383029</v>
      </c>
      <c r="Q132">
        <f t="shared" si="14"/>
        <v>0.99295372829231621</v>
      </c>
      <c r="R132" s="7">
        <f t="shared" si="15"/>
        <v>5.0904086457124382</v>
      </c>
    </row>
    <row r="133" spans="1:18">
      <c r="A133">
        <f>tetto_ionofree_PR!A133</f>
        <v>36</v>
      </c>
      <c r="B133">
        <f>tetto_ionofree_PR!B133</f>
        <v>0.55000000000000004</v>
      </c>
      <c r="C133">
        <f>tetto_ionofree_PR!C133</f>
        <v>4</v>
      </c>
      <c r="D133">
        <f>tetto_ionofree_PR!D133</f>
        <v>21226683.137147274</v>
      </c>
      <c r="E133">
        <f>tetto!$D133</f>
        <v>21226682.304000001</v>
      </c>
      <c r="F133">
        <f>tetto!$G133</f>
        <v>21226681.765000001</v>
      </c>
      <c r="G133">
        <f>tetto_ionofree_PR!$E133</f>
        <v>53.422067070537466</v>
      </c>
      <c r="H133">
        <f>tetto_ionofree_PR!$L133</f>
        <v>243.67185232449381</v>
      </c>
      <c r="I133">
        <f>DEGREES(ACOS(6378*COS(RADIANS(G133))/(6378+coord!B$18)))</f>
        <v>55.892457769548557</v>
      </c>
      <c r="J133" s="7">
        <f>-(10^-16)*(E133-$D133)*(coord!$B$10*10^6)^2*SIN(RADIANS($I133))/40.3</f>
        <v>4.2484715046949262</v>
      </c>
      <c r="K133">
        <f>-(10^-16)*(F133-$D133)*(coord!$B$11*10^6)^2*SIN(RADIANS($I133))/40.3</f>
        <v>4.2484715092702086</v>
      </c>
      <c r="L133">
        <f>DEGREES(coord!$B$18/(6378*TAN(RADIANS(I133))))</f>
        <v>2.4335628486749541</v>
      </c>
      <c r="M133">
        <f>lat(coord!$B$2,coord!$C$2,coord!$D$2)</f>
        <v>45.411171275371856</v>
      </c>
      <c r="N133">
        <f>lon(coord!$B$2,coord!$C$2,coord!$D$2)</f>
        <v>11.896106531717408</v>
      </c>
      <c r="O133" s="7">
        <f t="shared" si="12"/>
        <v>44.290802598127854</v>
      </c>
      <c r="P133">
        <f t="shared" si="13"/>
        <v>-5.3165870190861948E-2</v>
      </c>
      <c r="Q133">
        <f t="shared" si="14"/>
        <v>0.99858569499409922</v>
      </c>
      <c r="R133" s="7">
        <f t="shared" si="15"/>
        <v>8.8484896668651558</v>
      </c>
    </row>
    <row r="134" spans="1:18">
      <c r="A134">
        <f>tetto_ionofree_PR!A134</f>
        <v>36</v>
      </c>
      <c r="B134">
        <f>tetto_ionofree_PR!B134</f>
        <v>0.55000000000000004</v>
      </c>
      <c r="C134">
        <f>tetto_ionofree_PR!C134</f>
        <v>20</v>
      </c>
      <c r="D134">
        <f>tetto_ionofree_PR!D134</f>
        <v>23255364.533408329</v>
      </c>
      <c r="E134">
        <f>tetto!$D134</f>
        <v>23255363.252</v>
      </c>
      <c r="F134">
        <f>tetto!$G134</f>
        <v>23255362.423</v>
      </c>
      <c r="G134">
        <f>tetto_ionofree_PR!$E134</f>
        <v>24.633301847647218</v>
      </c>
      <c r="H134">
        <f>tetto_ionofree_PR!$L134</f>
        <v>118.17333012254778</v>
      </c>
      <c r="I134">
        <f>DEGREES(ACOS(6378*COS(RADIANS(G134))/(6378+coord!B$18)))</f>
        <v>31.201553629651993</v>
      </c>
      <c r="J134" s="7">
        <f>-(10^-16)*(E134-$D134)*(coord!$B$10*10^6)^2*SIN(RADIANS($I134))/40.3</f>
        <v>4.0883404491678643</v>
      </c>
      <c r="K134">
        <f>-(10^-16)*(F134-$D134)*(coord!$B$11*10^6)^2*SIN(RADIANS($I134))/40.3</f>
        <v>4.0883404504889285</v>
      </c>
      <c r="L134">
        <f>DEGREES(coord!$B$18/(6378*TAN(RADIANS(I134))))</f>
        <v>5.9329437159311365</v>
      </c>
      <c r="M134">
        <f>lat(coord!$B$2,coord!$C$2,coord!$D$2)</f>
        <v>45.411171275371856</v>
      </c>
      <c r="N134">
        <f>lon(coord!$B$2,coord!$C$2,coord!$D$2)</f>
        <v>11.896106531717408</v>
      </c>
      <c r="O134" s="7">
        <f t="shared" si="12"/>
        <v>42.38338301147877</v>
      </c>
      <c r="P134">
        <f t="shared" si="13"/>
        <v>0.12335756544809383</v>
      </c>
      <c r="Q134">
        <f t="shared" si="14"/>
        <v>0.99236228820260963</v>
      </c>
      <c r="R134" s="7">
        <f t="shared" si="15"/>
        <v>18.982023669605972</v>
      </c>
    </row>
    <row r="135" spans="1:18">
      <c r="A135">
        <f>tetto_ionofree_PR!A135</f>
        <v>36</v>
      </c>
      <c r="B135">
        <f>tetto_ionofree_PR!B135</f>
        <v>0.55000000000000004</v>
      </c>
      <c r="C135">
        <f>tetto_ionofree_PR!C135</f>
        <v>13</v>
      </c>
      <c r="D135">
        <f>tetto_ionofree_PR!D135</f>
        <v>20187920.398873761</v>
      </c>
      <c r="E135">
        <f>tetto!$D135</f>
        <v>20187917.513</v>
      </c>
      <c r="F135">
        <f>tetto!$G135</f>
        <v>20187915.646000002</v>
      </c>
      <c r="G135">
        <f>tetto_ionofree_PR!$E135</f>
        <v>73.547050277623583</v>
      </c>
      <c r="H135">
        <f>tetto_ionofree_PR!$L135</f>
        <v>29.645121874016795</v>
      </c>
      <c r="I135">
        <f>DEGREES(ACOS(6378*COS(RADIANS(G135))/(6378+coord!B$18)))</f>
        <v>74.54310469887929</v>
      </c>
      <c r="J135" s="7">
        <f>-(10^-16)*(E135-$D135)*(coord!$B$10*10^6)^2*SIN(RADIANS($I135))/40.3</f>
        <v>17.130340130866372</v>
      </c>
      <c r="K135">
        <f>-(10^-16)*(F135-$D135)*(coord!$B$11*10^6)^2*SIN(RADIANS($I135))/40.3</f>
        <v>17.130340136718186</v>
      </c>
      <c r="L135">
        <f>DEGREES(coord!$B$18/(6378*TAN(RADIANS(I135))))</f>
        <v>0.99361027094030829</v>
      </c>
      <c r="M135">
        <f>lat(coord!$B$2,coord!$C$2,coord!$D$2)</f>
        <v>45.411171275371856</v>
      </c>
      <c r="N135">
        <f>lon(coord!$B$2,coord!$C$2,coord!$D$2)</f>
        <v>11.896106531717408</v>
      </c>
      <c r="O135" s="7">
        <f t="shared" si="12"/>
        <v>46.272541231820433</v>
      </c>
      <c r="P135">
        <f t="shared" si="13"/>
        <v>1.2408725786508864E-2</v>
      </c>
      <c r="Q135">
        <f t="shared" si="14"/>
        <v>0.99992300879835516</v>
      </c>
      <c r="R135" s="7">
        <f t="shared" si="15"/>
        <v>12.607092395065166</v>
      </c>
    </row>
    <row r="136" spans="1:18">
      <c r="A136">
        <f>tetto_ionofree_PR!A136</f>
        <v>36</v>
      </c>
      <c r="B136">
        <f>tetto_ionofree_PR!B136</f>
        <v>0.55000000000000004</v>
      </c>
      <c r="C136">
        <f>tetto_ionofree_PR!C136</f>
        <v>7</v>
      </c>
      <c r="D136">
        <f>tetto_ionofree_PR!D136</f>
        <v>21637876.402258482</v>
      </c>
      <c r="E136">
        <f>tetto!$D136</f>
        <v>21637874.940000001</v>
      </c>
      <c r="F136">
        <f>tetto!$G136</f>
        <v>21637873.993999999</v>
      </c>
      <c r="G136">
        <f>tetto_ionofree_PR!$E136</f>
        <v>46.958839160578769</v>
      </c>
      <c r="H136">
        <f>tetto_ionofree_PR!$L136</f>
        <v>175.60544690619008</v>
      </c>
      <c r="I136">
        <f>DEGREES(ACOS(6378*COS(RADIANS(G136))/(6378+coord!B$18)))</f>
        <v>50.0405852983166</v>
      </c>
      <c r="J136" s="7">
        <f>-(10^-16)*(E136-$D136)*(coord!$B$10*10^6)^2*SIN(RADIANS($I136))/40.3</f>
        <v>6.9027751335071521</v>
      </c>
      <c r="K136">
        <f>-(10^-16)*(F136-$D136)*(coord!$B$11*10^6)^2*SIN(RADIANS($I136))/40.3</f>
        <v>6.9027751393265389</v>
      </c>
      <c r="L136">
        <f>DEGREES(coord!$B$18/(6378*TAN(RADIANS(I136))))</f>
        <v>3.01083396684355</v>
      </c>
      <c r="M136">
        <f>lat(coord!$B$2,coord!$C$2,coord!$D$2)</f>
        <v>45.411171275371856</v>
      </c>
      <c r="N136">
        <f>lon(coord!$B$2,coord!$C$2,coord!$D$2)</f>
        <v>11.896106531717408</v>
      </c>
      <c r="O136" s="7">
        <f t="shared" si="12"/>
        <v>42.40874896026498</v>
      </c>
      <c r="P136">
        <f t="shared" si="13"/>
        <v>5.4508822021836819E-3</v>
      </c>
      <c r="Q136">
        <f t="shared" si="14"/>
        <v>0.99998514383125592</v>
      </c>
      <c r="R136" s="7">
        <f t="shared" si="15"/>
        <v>12.208420623123988</v>
      </c>
    </row>
    <row r="138" spans="1:18">
      <c r="A138">
        <f>tetto_ionofree_PR!A138</f>
        <v>38</v>
      </c>
      <c r="B138">
        <f>tetto_ionofree_PR!B138</f>
        <v>0.56666666666666665</v>
      </c>
      <c r="C138">
        <f>tetto_ionofree_PR!C138</f>
        <v>2</v>
      </c>
      <c r="D138">
        <f>tetto_ionofree_PR!D138</f>
        <v>22428239.315685265</v>
      </c>
      <c r="E138">
        <f>tetto!$D138</f>
        <v>22428235.438999999</v>
      </c>
      <c r="F138">
        <f>tetto!$G138</f>
        <v>22428232.931000002</v>
      </c>
      <c r="G138">
        <f>tetto_ionofree_PR!$E138</f>
        <v>32.396388233452228</v>
      </c>
      <c r="H138">
        <f>tetto_ionofree_PR!$L138</f>
        <v>-56.117295420779925</v>
      </c>
      <c r="I138">
        <f>DEGREES(ACOS(6378*COS(RADIANS(G138))/(6378+coord!B$18)))</f>
        <v>37.388911438230686</v>
      </c>
      <c r="J138" s="7">
        <f>-(10^-16)*(E138-$D138)*(coord!$B$10*10^6)^2*SIN(RADIANS($I138))/40.3</f>
        <v>14.497588359816119</v>
      </c>
      <c r="K138">
        <f>-(10^-16)*(F138-$D138)*(coord!$B$11*10^6)^2*SIN(RADIANS($I138))/40.3</f>
        <v>14.497588364907935</v>
      </c>
      <c r="L138">
        <f>DEGREES(coord!$B$18/(6378*TAN(RADIANS(I138))))</f>
        <v>4.7017770031000792</v>
      </c>
      <c r="M138">
        <f>lat(coord!$B$2,coord!$C$2,coord!$D$2)</f>
        <v>45.411171275371856</v>
      </c>
      <c r="N138">
        <f>lon(coord!$B$2,coord!$C$2,coord!$D$2)</f>
        <v>11.896106531717408</v>
      </c>
      <c r="O138" s="7">
        <f t="shared" si="12"/>
        <v>47.888963979184489</v>
      </c>
      <c r="P138">
        <f t="shared" si="13"/>
        <v>-0.1014800402474634</v>
      </c>
      <c r="Q138">
        <f t="shared" si="14"/>
        <v>0.99483757540182061</v>
      </c>
      <c r="R138" s="7">
        <f t="shared" si="15"/>
        <v>6.0717023846377574</v>
      </c>
    </row>
    <row r="139" spans="1:18">
      <c r="A139">
        <f>tetto_ionofree_PR!A139</f>
        <v>38</v>
      </c>
      <c r="B139">
        <f>tetto_ionofree_PR!B139</f>
        <v>0.56666666666666665</v>
      </c>
      <c r="C139">
        <f>tetto_ionofree_PR!C139</f>
        <v>23</v>
      </c>
      <c r="D139">
        <f>tetto_ionofree_PR!D139</f>
        <v>21263522.979078572</v>
      </c>
      <c r="E139">
        <f>tetto!$D139</f>
        <v>21263517.905999999</v>
      </c>
      <c r="F139">
        <f>tetto!$G139</f>
        <v>21263514.624000002</v>
      </c>
      <c r="G139">
        <f>tetto_ionofree_PR!$E139</f>
        <v>48.704008073125124</v>
      </c>
      <c r="H139">
        <f>tetto_ionofree_PR!$L139</f>
        <v>58.294139125925554</v>
      </c>
      <c r="I139">
        <f>DEGREES(ACOS(6378*COS(RADIANS(G139))/(6378+coord!B$18)))</f>
        <v>51.610615328179271</v>
      </c>
      <c r="J139" s="7">
        <f>-(10^-16)*(E139-$D139)*(coord!$B$10*10^6)^2*SIN(RADIANS($I139))/40.3</f>
        <v>24.488897571211414</v>
      </c>
      <c r="K139">
        <f>-(10^-16)*(F139-$D139)*(coord!$B$11*10^6)^2*SIN(RADIANS($I139))/40.3</f>
        <v>24.488897568057059</v>
      </c>
      <c r="L139">
        <f>DEGREES(coord!$B$18/(6378*TAN(RADIANS(I139))))</f>
        <v>2.8469610490151949</v>
      </c>
      <c r="M139">
        <f>lat(coord!$B$2,coord!$C$2,coord!$D$2)</f>
        <v>45.411171275371856</v>
      </c>
      <c r="N139">
        <f>lon(coord!$B$2,coord!$C$2,coord!$D$2)</f>
        <v>11.896106531717408</v>
      </c>
      <c r="O139" s="7">
        <f t="shared" si="12"/>
        <v>46.853633267052416</v>
      </c>
      <c r="P139">
        <f t="shared" si="13"/>
        <v>6.1789667821707167E-2</v>
      </c>
      <c r="Q139">
        <f t="shared" si="14"/>
        <v>0.99808919288332287</v>
      </c>
      <c r="R139" s="7">
        <f t="shared" si="15"/>
        <v>15.438650375642952</v>
      </c>
    </row>
    <row r="140" spans="1:18">
      <c r="A140">
        <f>tetto_ionofree_PR!A140</f>
        <v>38</v>
      </c>
      <c r="B140">
        <f>tetto_ionofree_PR!B140</f>
        <v>0.56666666666666665</v>
      </c>
      <c r="C140">
        <f>tetto_ionofree_PR!C140</f>
        <v>10</v>
      </c>
      <c r="D140">
        <f>tetto_ionofree_PR!D140</f>
        <v>22686173.077647917</v>
      </c>
      <c r="E140">
        <f>tetto!$D140</f>
        <v>22686172.498</v>
      </c>
      <c r="F140">
        <f>tetto!$G140</f>
        <v>22686172.123</v>
      </c>
      <c r="G140">
        <f>tetto_ionofree_PR!$E140</f>
        <v>28.821394146638333</v>
      </c>
      <c r="H140">
        <f>tetto_ionofree_PR!$L140</f>
        <v>-59.172887339529154</v>
      </c>
      <c r="I140">
        <f>DEGREES(ACOS(6378*COS(RADIANS(G140))/(6378+coord!B$18)))</f>
        <v>34.470005775970158</v>
      </c>
      <c r="J140" s="7">
        <f>-(10^-16)*(E140-$D140)*(coord!$B$10*10^6)^2*SIN(RADIANS($I140))/40.3</f>
        <v>2.0204540799030433</v>
      </c>
      <c r="K140">
        <f>-(10^-16)*(F140-$D140)*(coord!$B$11*10^6)^2*SIN(RADIANS($I140))/40.3</f>
        <v>2.0204540802600293</v>
      </c>
      <c r="L140">
        <f>DEGREES(coord!$B$18/(6378*TAN(RADIANS(I140))))</f>
        <v>5.2342076705486242</v>
      </c>
      <c r="M140">
        <f>lat(coord!$B$2,coord!$C$2,coord!$D$2)</f>
        <v>45.411171275371856</v>
      </c>
      <c r="N140">
        <f>lon(coord!$B$2,coord!$C$2,coord!$D$2)</f>
        <v>11.896106531717408</v>
      </c>
      <c r="O140" s="7">
        <f t="shared" si="12"/>
        <v>47.903086484863458</v>
      </c>
      <c r="P140">
        <f t="shared" si="13"/>
        <v>-0.1168554663207302</v>
      </c>
      <c r="Q140">
        <f t="shared" si="14"/>
        <v>0.99314893142517402</v>
      </c>
      <c r="R140" s="7">
        <f t="shared" si="15"/>
        <v>5.1854494302019125</v>
      </c>
    </row>
    <row r="141" spans="1:18">
      <c r="A141">
        <f>tetto_ionofree_PR!A141</f>
        <v>38</v>
      </c>
      <c r="B141">
        <f>tetto_ionofree_PR!B141</f>
        <v>0.56666666666666665</v>
      </c>
      <c r="C141">
        <f>tetto_ionofree_PR!C141</f>
        <v>4</v>
      </c>
      <c r="D141">
        <f>tetto_ionofree_PR!D141</f>
        <v>21240473.835394595</v>
      </c>
      <c r="E141">
        <f>tetto!$D141</f>
        <v>21240473.146000002</v>
      </c>
      <c r="F141">
        <f>tetto!$G141</f>
        <v>21240472.699999999</v>
      </c>
      <c r="G141">
        <f>tetto_ionofree_PR!$E141</f>
        <v>53.202050338238564</v>
      </c>
      <c r="H141">
        <f>tetto_ionofree_PR!$L141</f>
        <v>242.95146279029274</v>
      </c>
      <c r="I141">
        <f>DEGREES(ACOS(6378*COS(RADIANS(G141))/(6378+coord!B$18)))</f>
        <v>55.691709155287391</v>
      </c>
      <c r="J141" s="7">
        <f>-(10^-16)*(E141-$D141)*(coord!$B$10*10^6)^2*SIN(RADIANS($I141))/40.3</f>
        <v>3.5070696089238282</v>
      </c>
      <c r="K141">
        <f>-(10^-16)*(F141-$D141)*(coord!$B$11*10^6)^2*SIN(RADIANS($I141))/40.3</f>
        <v>3.5070696095375293</v>
      </c>
      <c r="L141">
        <f>DEGREES(coord!$B$18/(6378*TAN(RADIANS(I141))))</f>
        <v>2.4519712055030607</v>
      </c>
      <c r="M141">
        <f>lat(coord!$B$2,coord!$C$2,coord!$D$2)</f>
        <v>45.411171275371856</v>
      </c>
      <c r="N141">
        <f>lon(coord!$B$2,coord!$C$2,coord!$D$2)</f>
        <v>11.896106531717408</v>
      </c>
      <c r="O141" s="7">
        <f t="shared" si="12"/>
        <v>44.255027629558199</v>
      </c>
      <c r="P141">
        <f t="shared" si="13"/>
        <v>-5.3197888096374137E-2</v>
      </c>
      <c r="Q141">
        <f t="shared" si="14"/>
        <v>0.99858398980861185</v>
      </c>
      <c r="R141" s="7">
        <f t="shared" si="15"/>
        <v>8.8466525762378563</v>
      </c>
    </row>
    <row r="142" spans="1:18">
      <c r="A142">
        <f>tetto_ionofree_PR!A142</f>
        <v>38</v>
      </c>
      <c r="B142">
        <f>tetto_ionofree_PR!B142</f>
        <v>0.56666666666666665</v>
      </c>
      <c r="C142">
        <f>tetto_ionofree_PR!C142</f>
        <v>20</v>
      </c>
      <c r="D142">
        <f>tetto_ionofree_PR!D142</f>
        <v>23291291.811310865</v>
      </c>
      <c r="E142">
        <f>tetto!$D142</f>
        <v>23291290.567000002</v>
      </c>
      <c r="F142">
        <f>tetto!$G142</f>
        <v>23291289.761999998</v>
      </c>
      <c r="G142">
        <f>tetto_ionofree_PR!$E142</f>
        <v>24.249312958804182</v>
      </c>
      <c r="H142">
        <f>tetto_ionofree_PR!$L142</f>
        <v>118.43741108055269</v>
      </c>
      <c r="I142">
        <f>DEGREES(ACOS(6378*COS(RADIANS(G142))/(6378+coord!B$18)))</f>
        <v>30.91175424561597</v>
      </c>
      <c r="J142" s="7">
        <f>-(10^-16)*(E142-$D142)*(coord!$B$10*10^6)^2*SIN(RADIANS($I142))/40.3</f>
        <v>3.9367761827754446</v>
      </c>
      <c r="K142">
        <f>-(10^-16)*(F142-$D142)*(coord!$B$11*10^6)^2*SIN(RADIANS($I142))/40.3</f>
        <v>3.9367761890054642</v>
      </c>
      <c r="L142">
        <f>DEGREES(coord!$B$18/(6378*TAN(RADIANS(I142))))</f>
        <v>6.0012365389334743</v>
      </c>
      <c r="M142">
        <f>lat(coord!$B$2,coord!$C$2,coord!$D$2)</f>
        <v>45.411171275371856</v>
      </c>
      <c r="N142">
        <f>lon(coord!$B$2,coord!$C$2,coord!$D$2)</f>
        <v>11.896106531717408</v>
      </c>
      <c r="O142" s="7">
        <f t="shared" si="12"/>
        <v>42.322985882383016</v>
      </c>
      <c r="P142">
        <f t="shared" si="13"/>
        <v>0.1243434545576578</v>
      </c>
      <c r="Q142">
        <f t="shared" si="14"/>
        <v>0.99223923794046176</v>
      </c>
      <c r="R142" s="7">
        <f t="shared" si="15"/>
        <v>19.038949233408257</v>
      </c>
    </row>
    <row r="143" spans="1:18">
      <c r="A143">
        <f>tetto_ionofree_PR!A143</f>
        <v>38</v>
      </c>
      <c r="B143">
        <f>tetto_ionofree_PR!B143</f>
        <v>0.56666666666666665</v>
      </c>
      <c r="C143">
        <f>tetto_ionofree_PR!C143</f>
        <v>13</v>
      </c>
      <c r="D143">
        <f>tetto_ionofree_PR!D143</f>
        <v>20197619.412687857</v>
      </c>
      <c r="E143">
        <f>tetto!$D143</f>
        <v>20197616.550000001</v>
      </c>
      <c r="F143">
        <f>tetto!$G143</f>
        <v>20197614.697999999</v>
      </c>
      <c r="G143">
        <f>tetto_ionofree_PR!$E143</f>
        <v>73.138138704985337</v>
      </c>
      <c r="H143">
        <f>tetto_ionofree_PR!$L143</f>
        <v>30.53550211156648</v>
      </c>
      <c r="I143">
        <f>DEGREES(ACOS(6378*COS(RADIANS(G143))/(6378+coord!B$18)))</f>
        <v>74.160282770972486</v>
      </c>
      <c r="J143" s="7">
        <f>-(10^-16)*(E143-$D143)*(coord!$B$10*10^6)^2*SIN(RADIANS($I143))/40.3</f>
        <v>16.960936606087465</v>
      </c>
      <c r="K143">
        <f>-(10^-16)*(F143-$D143)*(coord!$B$11*10^6)^2*SIN(RADIANS($I143))/40.3</f>
        <v>16.960936596110706</v>
      </c>
      <c r="L143">
        <f>DEGREES(coord!$B$18/(6378*TAN(RADIANS(I143))))</f>
        <v>1.0195031227107538</v>
      </c>
      <c r="M143">
        <f>lat(coord!$B$2,coord!$C$2,coord!$D$2)</f>
        <v>45.411171275371856</v>
      </c>
      <c r="N143">
        <f>lon(coord!$B$2,coord!$C$2,coord!$D$2)</f>
        <v>11.896106531717408</v>
      </c>
      <c r="O143" s="7">
        <f t="shared" si="12"/>
        <v>46.286859075209058</v>
      </c>
      <c r="P143">
        <f t="shared" si="13"/>
        <v>1.3081575747308406E-2</v>
      </c>
      <c r="Q143">
        <f t="shared" si="14"/>
        <v>0.99991443252708756</v>
      </c>
      <c r="R143" s="7">
        <f t="shared" si="15"/>
        <v>12.645646990301795</v>
      </c>
    </row>
    <row r="144" spans="1:18">
      <c r="A144">
        <f>tetto_ionofree_PR!A144</f>
        <v>38</v>
      </c>
      <c r="B144">
        <f>tetto_ionofree_PR!B144</f>
        <v>0.56666666666666665</v>
      </c>
      <c r="C144">
        <f>tetto_ionofree_PR!C144</f>
        <v>7</v>
      </c>
      <c r="D144">
        <f>tetto_ionofree_PR!D144</f>
        <v>21607081.562248178</v>
      </c>
      <c r="E144">
        <f>tetto!$D144</f>
        <v>21607079.644000001</v>
      </c>
      <c r="F144">
        <f>tetto!$G144</f>
        <v>21607078.403000001</v>
      </c>
      <c r="G144">
        <f>tetto_ionofree_PR!$E144</f>
        <v>47.450255216778096</v>
      </c>
      <c r="H144">
        <f>tetto_ionofree_PR!$L144</f>
        <v>175.48878845378107</v>
      </c>
      <c r="I144">
        <f>DEGREES(ACOS(6378*COS(RADIANS(G144))/(6378+coord!B$18)))</f>
        <v>50.481843162683759</v>
      </c>
      <c r="J144" s="7">
        <f>-(10^-16)*(E144-$D144)*(coord!$B$10*10^6)^2*SIN(RADIANS($I144))/40.3</f>
        <v>9.1134963794638999</v>
      </c>
      <c r="K144">
        <f>-(10^-16)*(F144-$D144)*(coord!$B$11*10^6)^2*SIN(RADIANS($I144))/40.3</f>
        <v>9.1134963779832887</v>
      </c>
      <c r="L144">
        <f>DEGREES(coord!$B$18/(6378*TAN(RADIANS(I144))))</f>
        <v>2.9640325329151338</v>
      </c>
      <c r="M144">
        <f>lat(coord!$B$2,coord!$C$2,coord!$D$2)</f>
        <v>45.411171275371856</v>
      </c>
      <c r="N144">
        <f>lon(coord!$B$2,coord!$C$2,coord!$D$2)</f>
        <v>11.896106531717408</v>
      </c>
      <c r="O144" s="7">
        <f t="shared" si="12"/>
        <v>42.455871561683658</v>
      </c>
      <c r="P144">
        <f t="shared" si="13"/>
        <v>5.5125330451322929E-3</v>
      </c>
      <c r="Q144">
        <f t="shared" si="14"/>
        <v>0.99998480587428262</v>
      </c>
      <c r="R144" s="7">
        <f t="shared" si="15"/>
        <v>12.211953009301871</v>
      </c>
    </row>
    <row r="146" spans="1:18">
      <c r="A146">
        <f>tetto_ionofree_PR!A146</f>
        <v>40</v>
      </c>
      <c r="B146">
        <f>tetto_ionofree_PR!B146</f>
        <v>0.58333333333333326</v>
      </c>
      <c r="C146">
        <f>tetto_ionofree_PR!C146</f>
        <v>2</v>
      </c>
      <c r="D146">
        <f>tetto_ionofree_PR!D146</f>
        <v>22405376.943727352</v>
      </c>
      <c r="E146">
        <f>tetto!$D146</f>
        <v>22405372.829</v>
      </c>
      <c r="F146">
        <f>tetto!$G146</f>
        <v>22405370.166999999</v>
      </c>
      <c r="G146">
        <f>tetto_ionofree_PR!$E146</f>
        <v>32.651583267406714</v>
      </c>
      <c r="H146">
        <f>tetto_ionofree_PR!$L146</f>
        <v>-56.515044083115697</v>
      </c>
      <c r="I146">
        <f>DEGREES(ACOS(6378*COS(RADIANS(G146))/(6378+coord!B$18)))</f>
        <v>37.60102060452013</v>
      </c>
      <c r="J146" s="7">
        <f>-(10^-16)*(E146-$D146)*(coord!$B$10*10^6)^2*SIN(RADIANS($I146))/40.3</f>
        <v>15.462223447591812</v>
      </c>
      <c r="K146">
        <f>-(10^-16)*(F146-$D146)*(coord!$B$11*10^6)^2*SIN(RADIANS($I146))/40.3</f>
        <v>15.462223447173901</v>
      </c>
      <c r="L146">
        <f>DEGREES(coord!$B$18/(6378*TAN(RADIANS(I146))))</f>
        <v>4.6658729774972088</v>
      </c>
      <c r="M146">
        <f>lat(coord!$B$2,coord!$C$2,coord!$D$2)</f>
        <v>45.411171275371856</v>
      </c>
      <c r="N146">
        <f>lon(coord!$B$2,coord!$C$2,coord!$D$2)</f>
        <v>11.896106531717408</v>
      </c>
      <c r="O146" s="7">
        <f t="shared" si="12"/>
        <v>47.843027880067439</v>
      </c>
      <c r="P146">
        <f t="shared" si="13"/>
        <v>-0.1010842524496782</v>
      </c>
      <c r="Q146">
        <f t="shared" si="14"/>
        <v>0.99487786883953244</v>
      </c>
      <c r="R146" s="7">
        <f t="shared" si="15"/>
        <v>6.0944965687633399</v>
      </c>
    </row>
    <row r="147" spans="1:18">
      <c r="A147">
        <f>tetto_ionofree_PR!A147</f>
        <v>40</v>
      </c>
      <c r="B147">
        <f>tetto_ionofree_PR!B147</f>
        <v>0.58333333333333326</v>
      </c>
      <c r="C147">
        <f>tetto_ionofree_PR!C147</f>
        <v>23</v>
      </c>
      <c r="D147">
        <f>tetto_ionofree_PR!D147</f>
        <v>21287093.695766848</v>
      </c>
      <c r="E147">
        <f>tetto!$D147</f>
        <v>21287088.329</v>
      </c>
      <c r="F147">
        <f>tetto!$G147</f>
        <v>21287084.857000001</v>
      </c>
      <c r="G147">
        <f>tetto_ionofree_PR!$E147</f>
        <v>48.288474129771423</v>
      </c>
      <c r="H147">
        <f>tetto_ionofree_PR!$L147</f>
        <v>58.548296741801252</v>
      </c>
      <c r="I147">
        <f>DEGREES(ACOS(6378*COS(RADIANS(G147))/(6378+coord!B$18)))</f>
        <v>51.236040356560686</v>
      </c>
      <c r="J147" s="7">
        <f>-(10^-16)*(E147-$D147)*(coord!$B$10*10^6)^2*SIN(RADIANS($I147))/40.3</f>
        <v>25.771857793696757</v>
      </c>
      <c r="K147">
        <f>-(10^-16)*(F147-$D147)*(coord!$B$11*10^6)^2*SIN(RADIANS($I147))/40.3</f>
        <v>25.771857800714887</v>
      </c>
      <c r="L147">
        <f>DEGREES(coord!$B$18/(6378*TAN(RADIANS(I147))))</f>
        <v>2.8853986098191688</v>
      </c>
      <c r="M147">
        <f>lat(coord!$B$2,coord!$C$2,coord!$D$2)</f>
        <v>45.411171275371856</v>
      </c>
      <c r="N147">
        <f>lon(coord!$B$2,coord!$C$2,coord!$D$2)</f>
        <v>11.896106531717408</v>
      </c>
      <c r="O147" s="7">
        <f t="shared" si="12"/>
        <v>46.861154997080952</v>
      </c>
      <c r="P147">
        <f t="shared" si="13"/>
        <v>6.2802991131935465E-2</v>
      </c>
      <c r="Q147">
        <f t="shared" si="14"/>
        <v>0.99802594370330955</v>
      </c>
      <c r="R147" s="7">
        <f t="shared" si="15"/>
        <v>15.496822515021835</v>
      </c>
    </row>
    <row r="148" spans="1:18">
      <c r="A148">
        <f>tetto_ionofree_PR!A148</f>
        <v>40</v>
      </c>
      <c r="B148">
        <f>tetto_ionofree_PR!B148</f>
        <v>0.58333333333333326</v>
      </c>
      <c r="C148">
        <f>tetto_ionofree_PR!C148</f>
        <v>10</v>
      </c>
      <c r="D148">
        <f>tetto_ionofree_PR!D148</f>
        <v>22652470.093812793</v>
      </c>
      <c r="E148">
        <f>tetto!$D148</f>
        <v>22652469.609999999</v>
      </c>
      <c r="F148">
        <f>tetto!$G148</f>
        <v>22652469.296999998</v>
      </c>
      <c r="G148">
        <f>tetto_ionofree_PR!$E148</f>
        <v>29.227110799029354</v>
      </c>
      <c r="H148">
        <f>tetto_ionofree_PR!$L148</f>
        <v>-59.019888885316249</v>
      </c>
      <c r="I148">
        <f>DEGREES(ACOS(6378*COS(RADIANS(G148))/(6378+coord!B$18)))</f>
        <v>34.795930494530381</v>
      </c>
      <c r="J148" s="7">
        <f>-(10^-16)*(E148-$D148)*(coord!$B$10*10^6)^2*SIN(RADIANS($I148))/40.3</f>
        <v>1.7003519491560457</v>
      </c>
      <c r="K148">
        <f>-(10^-16)*(F148-$D148)*(coord!$B$11*10^6)^2*SIN(RADIANS($I148))/40.3</f>
        <v>1.700351952839338</v>
      </c>
      <c r="L148">
        <f>DEGREES(coord!$B$18/(6378*TAN(RADIANS(I148))))</f>
        <v>5.1709199316355656</v>
      </c>
      <c r="M148">
        <f>lat(coord!$B$2,coord!$C$2,coord!$D$2)</f>
        <v>45.411171275371856</v>
      </c>
      <c r="N148">
        <f>lon(coord!$B$2,coord!$C$2,coord!$D$2)</f>
        <v>11.896106531717408</v>
      </c>
      <c r="O148" s="7">
        <f t="shared" si="12"/>
        <v>47.887753083531877</v>
      </c>
      <c r="P148">
        <f t="shared" si="13"/>
        <v>-0.11522789939417108</v>
      </c>
      <c r="Q148">
        <f t="shared" si="14"/>
        <v>0.99333908168419849</v>
      </c>
      <c r="R148" s="7">
        <f t="shared" si="15"/>
        <v>5.2793364250241268</v>
      </c>
    </row>
    <row r="149" spans="1:18">
      <c r="A149">
        <f>tetto_ionofree_PR!A149</f>
        <v>40</v>
      </c>
      <c r="B149">
        <f>tetto_ionofree_PR!B149</f>
        <v>0.58333333333333326</v>
      </c>
      <c r="C149">
        <f>tetto_ionofree_PR!C149</f>
        <v>4</v>
      </c>
      <c r="D149">
        <f>tetto_ionofree_PR!D149</f>
        <v>21254692.819842856</v>
      </c>
      <c r="E149">
        <f>tetto!$D149</f>
        <v>21254692.166000001</v>
      </c>
      <c r="F149">
        <f>tetto!$G149</f>
        <v>21254691.743000001</v>
      </c>
      <c r="G149">
        <f>tetto_ionofree_PR!$E149</f>
        <v>52.975395708257807</v>
      </c>
      <c r="H149">
        <f>tetto_ionofree_PR!$L149</f>
        <v>242.2404018787341</v>
      </c>
      <c r="I149">
        <f>DEGREES(ACOS(6378*COS(RADIANS(G149))/(6378+coord!B$18)))</f>
        <v>55.485005185048941</v>
      </c>
      <c r="J149" s="7">
        <f>-(10^-16)*(E149-$D149)*(coord!$B$10*10^6)^2*SIN(RADIANS($I149))/40.3</f>
        <v>3.3180018445686423</v>
      </c>
      <c r="K149">
        <f>-(10^-16)*(F149-$D149)*(coord!$B$11*10^6)^2*SIN(RADIANS($I149))/40.3</f>
        <v>3.3180018374105344</v>
      </c>
      <c r="L149">
        <f>DEGREES(coord!$B$18/(6378*TAN(RADIANS(I149))))</f>
        <v>2.4710178696998568</v>
      </c>
      <c r="M149">
        <f>lat(coord!$B$2,coord!$C$2,coord!$D$2)</f>
        <v>45.411171275371856</v>
      </c>
      <c r="N149">
        <f>lon(coord!$B$2,coord!$C$2,coord!$D$2)</f>
        <v>11.896106531717408</v>
      </c>
      <c r="O149" s="7">
        <f t="shared" si="12"/>
        <v>44.219068033003381</v>
      </c>
      <c r="P149">
        <f t="shared" si="13"/>
        <v>-5.3234493721153575E-2</v>
      </c>
      <c r="Q149">
        <f t="shared" si="14"/>
        <v>0.99858203903247333</v>
      </c>
      <c r="R149" s="7">
        <f t="shared" si="15"/>
        <v>8.8445522523030622</v>
      </c>
    </row>
    <row r="150" spans="1:18">
      <c r="A150">
        <f>tetto_ionofree_PR!A150</f>
        <v>40</v>
      </c>
      <c r="B150">
        <f>tetto_ionofree_PR!B150</f>
        <v>0.58333333333333326</v>
      </c>
      <c r="C150">
        <f>tetto_ionofree_PR!C150</f>
        <v>20</v>
      </c>
      <c r="D150">
        <f>tetto_ionofree_PR!D150</f>
        <v>23327340.865040794</v>
      </c>
      <c r="E150">
        <f>tetto!$D150</f>
        <v>23327340.120000001</v>
      </c>
      <c r="F150">
        <f>tetto!$G150</f>
        <v>23327339.638</v>
      </c>
      <c r="G150">
        <f>tetto_ionofree_PR!$E150</f>
        <v>23.865532059685478</v>
      </c>
      <c r="H150">
        <f>tetto_ionofree_PR!$L150</f>
        <v>118.6998376342498</v>
      </c>
      <c r="I150">
        <f>DEGREES(ACOS(6378*COS(RADIANS(G150))/(6378+coord!B$18)))</f>
        <v>30.623975919609457</v>
      </c>
      <c r="J150" s="7">
        <f>-(10^-16)*(E150-$D150)*(coord!$B$10*10^6)^2*SIN(RADIANS($I150))/40.3</f>
        <v>2.3373727820407648</v>
      </c>
      <c r="K150">
        <f>-(10^-16)*(F150-$D150)*(coord!$B$11*10^6)^2*SIN(RADIANS($I150))/40.3</f>
        <v>2.337372779902033</v>
      </c>
      <c r="L150">
        <f>DEGREES(coord!$B$18/(6378*TAN(RADIANS(I150))))</f>
        <v>6.0702044855766362</v>
      </c>
      <c r="M150">
        <f>lat(coord!$B$2,coord!$C$2,coord!$D$2)</f>
        <v>45.411171275371856</v>
      </c>
      <c r="N150">
        <f>lon(coord!$B$2,coord!$C$2,coord!$D$2)</f>
        <v>11.896106531717408</v>
      </c>
      <c r="O150" s="7">
        <f t="shared" si="12"/>
        <v>42.261878915535632</v>
      </c>
      <c r="P150">
        <f t="shared" si="13"/>
        <v>0.12533220159392996</v>
      </c>
      <c r="Q150">
        <f t="shared" si="14"/>
        <v>0.99211483168210857</v>
      </c>
      <c r="R150" s="7">
        <f t="shared" si="15"/>
        <v>19.096046934230277</v>
      </c>
    </row>
    <row r="151" spans="1:18">
      <c r="A151">
        <f>tetto_ionofree_PR!A151</f>
        <v>40</v>
      </c>
      <c r="B151">
        <f>tetto_ionofree_PR!B151</f>
        <v>0.58333333333333326</v>
      </c>
      <c r="C151">
        <f>tetto_ionofree_PR!C151</f>
        <v>13</v>
      </c>
      <c r="D151">
        <f>tetto_ionofree_PR!D151</f>
        <v>20207602.689788315</v>
      </c>
      <c r="E151">
        <f>tetto!$D151</f>
        <v>20207599.772999998</v>
      </c>
      <c r="F151">
        <f>tetto!$G151</f>
        <v>20207597.886</v>
      </c>
      <c r="G151">
        <f>tetto_ionofree_PR!$E151</f>
        <v>72.728040248252952</v>
      </c>
      <c r="H151">
        <f>tetto_ionofree_PR!$L151</f>
        <v>31.39547044415059</v>
      </c>
      <c r="I151">
        <f>DEGREES(ACOS(6378*COS(RADIANS(G151))/(6378+coord!B$18)))</f>
        <v>73.776452616304596</v>
      </c>
      <c r="J151" s="7">
        <f>-(10^-16)*(E151-$D151)*(coord!$B$10*10^6)^2*SIN(RADIANS($I151))/40.3</f>
        <v>17.248238676850757</v>
      </c>
      <c r="K151">
        <f>-(10^-16)*(F151-$D151)*(coord!$B$11*10^6)^2*SIN(RADIANS($I151))/40.3</f>
        <v>17.248238679607667</v>
      </c>
      <c r="L151">
        <f>DEGREES(coord!$B$18/(6378*TAN(RADIANS(I151))))</f>
        <v>1.0455629161093347</v>
      </c>
      <c r="M151">
        <f>lat(coord!$B$2,coord!$C$2,coord!$D$2)</f>
        <v>45.411171275371856</v>
      </c>
      <c r="N151">
        <f>lon(coord!$B$2,coord!$C$2,coord!$D$2)</f>
        <v>11.896106531717408</v>
      </c>
      <c r="O151" s="7">
        <f t="shared" si="12"/>
        <v>46.300973041057532</v>
      </c>
      <c r="P151">
        <f t="shared" si="13"/>
        <v>1.3759305597280135E-2</v>
      </c>
      <c r="Q151">
        <f t="shared" si="14"/>
        <v>0.99990533627412992</v>
      </c>
      <c r="R151" s="7">
        <f t="shared" si="15"/>
        <v>12.684481548468112</v>
      </c>
    </row>
    <row r="152" spans="1:18">
      <c r="A152">
        <f>tetto_ionofree_PR!A152</f>
        <v>40</v>
      </c>
      <c r="B152">
        <f>tetto_ionofree_PR!B152</f>
        <v>0.58333333333333326</v>
      </c>
      <c r="C152">
        <f>tetto_ionofree_PR!C152</f>
        <v>7</v>
      </c>
      <c r="D152">
        <f>tetto_ionofree_PR!D152</f>
        <v>21576585.830691718</v>
      </c>
      <c r="E152">
        <f>tetto!$D152</f>
        <v>21576584.489</v>
      </c>
      <c r="F152">
        <f>tetto!$G152</f>
        <v>21576583.620999999</v>
      </c>
      <c r="G152">
        <f>tetto_ionofree_PR!$E152</f>
        <v>47.941941221571149</v>
      </c>
      <c r="H152">
        <f>tetto_ionofree_PR!$L152</f>
        <v>175.36824553644064</v>
      </c>
      <c r="I152">
        <f>DEGREES(ACOS(6378*COS(RADIANS(G152))/(6378+coord!B$18)))</f>
        <v>50.924013222473135</v>
      </c>
      <c r="J152" s="7">
        <f>-(10^-16)*(E152-$D152)*(coord!$B$10*10^6)^2*SIN(RADIANS($I152))/40.3</f>
        <v>6.4146941211469271</v>
      </c>
      <c r="K152">
        <f>-(10^-16)*(F152-$D152)*(coord!$B$11*10^6)^2*SIN(RADIANS($I152))/40.3</f>
        <v>6.4146941151028507</v>
      </c>
      <c r="L152">
        <f>DEGREES(coord!$B$18/(6378*TAN(RADIANS(I152))))</f>
        <v>2.9177270541400087</v>
      </c>
      <c r="M152">
        <f>lat(coord!$B$2,coord!$C$2,coord!$D$2)</f>
        <v>45.411171275371856</v>
      </c>
      <c r="N152">
        <f>lon(coord!$B$2,coord!$C$2,coord!$D$2)</f>
        <v>11.896106531717408</v>
      </c>
      <c r="O152" s="7">
        <f t="shared" si="12"/>
        <v>42.502512757519732</v>
      </c>
      <c r="P152">
        <f t="shared" si="13"/>
        <v>5.5753309399883882E-3</v>
      </c>
      <c r="Q152">
        <f t="shared" si="14"/>
        <v>0.99998445772167366</v>
      </c>
      <c r="R152" s="7">
        <f t="shared" si="15"/>
        <v>12.215551118934725</v>
      </c>
    </row>
    <row r="154" spans="1:18">
      <c r="A154">
        <f>tetto_ionofree_PR!A154</f>
        <v>42</v>
      </c>
      <c r="B154">
        <f>tetto_ionofree_PR!B154</f>
        <v>0.6</v>
      </c>
      <c r="C154">
        <f>tetto_ionofree_PR!C154</f>
        <v>2</v>
      </c>
      <c r="D154">
        <f>tetto_ionofree_PR!D154</f>
        <v>22382911.886943318</v>
      </c>
      <c r="E154">
        <f>tetto!$D154</f>
        <v>22382907.579</v>
      </c>
      <c r="F154">
        <f>tetto!$G154</f>
        <v>22382904.791999999</v>
      </c>
      <c r="G154">
        <f>tetto_ionofree_PR!$E154</f>
        <v>32.90303326081596</v>
      </c>
      <c r="H154">
        <f>tetto_ionofree_PR!$L154</f>
        <v>-56.918672171702269</v>
      </c>
      <c r="I154">
        <f>DEGREES(ACOS(6378*COS(RADIANS(G154))/(6378+coord!B$18)))</f>
        <v>37.810461227017264</v>
      </c>
      <c r="J154" s="7">
        <f>-(10^-16)*(E154-$D154)*(coord!$B$10*10^6)^2*SIN(RADIANS($I154))/40.3</f>
        <v>16.265015059206089</v>
      </c>
      <c r="K154">
        <f>-(10^-16)*(F154-$D154)*(coord!$B$11*10^6)^2*SIN(RADIANS($I154))/40.3</f>
        <v>16.265015068123432</v>
      </c>
      <c r="L154">
        <f>DEGREES(coord!$B$18/(6378*TAN(RADIANS(I154))))</f>
        <v>4.6307577582548154</v>
      </c>
      <c r="M154">
        <f>lat(coord!$B$2,coord!$C$2,coord!$D$2)</f>
        <v>45.411171275371856</v>
      </c>
      <c r="N154">
        <f>lon(coord!$B$2,coord!$C$2,coord!$D$2)</f>
        <v>11.896106531717408</v>
      </c>
      <c r="O154" s="7">
        <f t="shared" si="12"/>
        <v>47.79737655066468</v>
      </c>
      <c r="P154">
        <f t="shared" si="13"/>
        <v>-0.10070160020904388</v>
      </c>
      <c r="Q154">
        <f t="shared" si="14"/>
        <v>0.99491667375481141</v>
      </c>
      <c r="R154" s="7">
        <f t="shared" si="15"/>
        <v>6.1165333747450417</v>
      </c>
    </row>
    <row r="155" spans="1:18">
      <c r="A155">
        <f>tetto_ionofree_PR!A155</f>
        <v>42</v>
      </c>
      <c r="B155">
        <f>tetto_ionofree_PR!B155</f>
        <v>0.6</v>
      </c>
      <c r="C155">
        <f>tetto_ionofree_PR!C155</f>
        <v>23</v>
      </c>
      <c r="D155">
        <f>tetto_ionofree_PR!D155</f>
        <v>21310844.198885359</v>
      </c>
      <c r="E155">
        <f>tetto!$D155</f>
        <v>21310838.675999999</v>
      </c>
      <c r="F155">
        <f>tetto!$G155</f>
        <v>21310835.103</v>
      </c>
      <c r="G155">
        <f>tetto_ionofree_PR!$E155</f>
        <v>47.873905127342958</v>
      </c>
      <c r="H155">
        <f>tetto_ionofree_PR!$L155</f>
        <v>58.803123969190949</v>
      </c>
      <c r="I155">
        <f>DEGREES(ACOS(6378*COS(RADIANS(G155))/(6378+coord!B$18)))</f>
        <v>50.86278956062803</v>
      </c>
      <c r="J155" s="7">
        <f>-(10^-16)*(E155-$D155)*(coord!$B$10*10^6)^2*SIN(RADIANS($I155))/40.3</f>
        <v>26.382261206800322</v>
      </c>
      <c r="K155">
        <f>-(10^-16)*(F155-$D155)*(coord!$B$11*10^6)^2*SIN(RADIANS($I155))/40.3</f>
        <v>26.382261201247715</v>
      </c>
      <c r="L155">
        <f>DEGREES(coord!$B$18/(6378*TAN(RADIANS(I155))))</f>
        <v>2.9241038251311529</v>
      </c>
      <c r="M155">
        <f>lat(coord!$B$2,coord!$C$2,coord!$D$2)</f>
        <v>45.411171275371856</v>
      </c>
      <c r="N155">
        <f>lon(coord!$B$2,coord!$C$2,coord!$D$2)</f>
        <v>11.896106531717408</v>
      </c>
      <c r="O155" s="7">
        <f t="shared" si="12"/>
        <v>46.868419471017269</v>
      </c>
      <c r="P155">
        <f t="shared" si="13"/>
        <v>6.3825854804239815E-2</v>
      </c>
      <c r="Q155">
        <f t="shared" si="14"/>
        <v>0.99796105147370773</v>
      </c>
      <c r="R155" s="7">
        <f t="shared" si="15"/>
        <v>15.555546110367541</v>
      </c>
    </row>
    <row r="156" spans="1:18">
      <c r="A156">
        <f>tetto_ionofree_PR!A156</f>
        <v>42</v>
      </c>
      <c r="B156">
        <f>tetto_ionofree_PR!B156</f>
        <v>0.6</v>
      </c>
      <c r="C156">
        <f>tetto_ionofree_PR!C156</f>
        <v>10</v>
      </c>
      <c r="D156">
        <f>tetto_ionofree_PR!D156</f>
        <v>22618902.23870331</v>
      </c>
      <c r="E156">
        <f>tetto!$D156</f>
        <v>22618901.859999999</v>
      </c>
      <c r="F156">
        <f>tetto!$G156</f>
        <v>22618901.614999998</v>
      </c>
      <c r="G156">
        <f>tetto_ionofree_PR!$E156</f>
        <v>29.633829110881784</v>
      </c>
      <c r="H156">
        <f>tetto_ionofree_PR!$L156</f>
        <v>-58.868966736812069</v>
      </c>
      <c r="I156">
        <f>DEGREES(ACOS(6378*COS(RADIANS(G156))/(6378+coord!B$18)))</f>
        <v>35.124119552922402</v>
      </c>
      <c r="J156" s="7">
        <f>-(10^-16)*(E156-$D156)*(coord!$B$10*10^6)^2*SIN(RADIANS($I156))/40.3</f>
        <v>1.3418951748599823</v>
      </c>
      <c r="K156">
        <f>-(10^-16)*(F156-$D156)*(coord!$B$11*10^6)^2*SIN(RADIANS($I156))/40.3</f>
        <v>1.3418951702202184</v>
      </c>
      <c r="L156">
        <f>DEGREES(coord!$B$18/(6378*TAN(RADIANS(I156))))</f>
        <v>5.1082308999641803</v>
      </c>
      <c r="M156">
        <f>lat(coord!$B$2,coord!$C$2,coord!$D$2)</f>
        <v>45.411171275371856</v>
      </c>
      <c r="N156">
        <f>lon(coord!$B$2,coord!$C$2,coord!$D$2)</f>
        <v>11.896106531717408</v>
      </c>
      <c r="O156" s="7">
        <f t="shared" si="12"/>
        <v>47.872125506404672</v>
      </c>
      <c r="P156">
        <f t="shared" si="13"/>
        <v>-0.11361997376467156</v>
      </c>
      <c r="Q156">
        <f t="shared" si="14"/>
        <v>0.99352428332764753</v>
      </c>
      <c r="R156" s="7">
        <f t="shared" si="15"/>
        <v>5.3720728797307933</v>
      </c>
    </row>
    <row r="157" spans="1:18">
      <c r="A157">
        <f>tetto_ionofree_PR!A157</f>
        <v>42</v>
      </c>
      <c r="B157">
        <f>tetto_ionofree_PR!B157</f>
        <v>0.6</v>
      </c>
      <c r="C157">
        <f>tetto_ionofree_PR!C157</f>
        <v>4</v>
      </c>
      <c r="D157">
        <f>tetto_ionofree_PR!D157</f>
        <v>21269335.462279085</v>
      </c>
      <c r="E157">
        <f>tetto!$D157</f>
        <v>21269334.912</v>
      </c>
      <c r="F157">
        <f>tetto!$G157</f>
        <v>21269334.556000002</v>
      </c>
      <c r="G157">
        <f>tetto_ionofree_PR!$E157</f>
        <v>52.742254903111238</v>
      </c>
      <c r="H157">
        <f>tetto_ionofree_PR!$L157</f>
        <v>241.5387754128584</v>
      </c>
      <c r="I157">
        <f>DEGREES(ACOS(6378*COS(RADIANS(G157))/(6378+coord!B$18)))</f>
        <v>55.272494514336977</v>
      </c>
      <c r="J157" s="7">
        <f>-(10^-16)*(E157-$D157)*(coord!$B$10*10^6)^2*SIN(RADIANS($I157))/40.3</f>
        <v>2.7853138870091492</v>
      </c>
      <c r="K157">
        <f>-(10^-16)*(F157-$D157)*(coord!$B$11*10^6)^2*SIN(RADIANS($I157))/40.3</f>
        <v>2.7853138933920367</v>
      </c>
      <c r="L157">
        <f>DEGREES(coord!$B$18/(6378*TAN(RADIANS(I157))))</f>
        <v>2.4906983715887665</v>
      </c>
      <c r="M157">
        <f>lat(coord!$B$2,coord!$C$2,coord!$D$2)</f>
        <v>45.411171275371856</v>
      </c>
      <c r="N157">
        <f>lon(coord!$B$2,coord!$C$2,coord!$D$2)</f>
        <v>11.896106531717408</v>
      </c>
      <c r="O157" s="7">
        <f t="shared" si="12"/>
        <v>44.182918528299787</v>
      </c>
      <c r="P157">
        <f t="shared" si="13"/>
        <v>-5.3275654422484761E-2</v>
      </c>
      <c r="Q157">
        <f t="shared" si="14"/>
        <v>0.99857984390125587</v>
      </c>
      <c r="R157" s="7">
        <f t="shared" si="15"/>
        <v>8.8421905664648808</v>
      </c>
    </row>
    <row r="158" spans="1:18">
      <c r="A158">
        <f>tetto_ionofree_PR!A158</f>
        <v>42</v>
      </c>
      <c r="B158">
        <f>tetto_ionofree_PR!B158</f>
        <v>0.6</v>
      </c>
      <c r="C158">
        <f>tetto_ionofree_PR!C158</f>
        <v>20</v>
      </c>
      <c r="D158">
        <f>tetto_ionofree_PR!D158</f>
        <v>23363525.827492058</v>
      </c>
      <c r="E158">
        <f>tetto!$D158</f>
        <v>23363525.101</v>
      </c>
      <c r="F158">
        <f>tetto!$G158</f>
        <v>23363524.631000001</v>
      </c>
      <c r="G158">
        <f>tetto_ionofree_PR!$E158</f>
        <v>23.481961790087581</v>
      </c>
      <c r="H158">
        <f>tetto_ionofree_PR!$L158</f>
        <v>118.96061698689333</v>
      </c>
      <c r="I158">
        <f>DEGREES(ACOS(6378*COS(RADIANS(G158))/(6378+coord!B$18)))</f>
        <v>30.33827102946087</v>
      </c>
      <c r="J158" s="7">
        <f>-(10^-16)*(E158-$D158)*(coord!$B$10*10^6)^2*SIN(RADIANS($I158))/40.3</f>
        <v>2.2599536490925112</v>
      </c>
      <c r="K158">
        <f>-(10^-16)*(F158-$D158)*(coord!$B$11*10^6)^2*SIN(RADIANS($I158))/40.3</f>
        <v>2.2599536446302677</v>
      </c>
      <c r="L158">
        <f>DEGREES(coord!$B$18/(6378*TAN(RADIANS(I158))))</f>
        <v>6.1398430941958573</v>
      </c>
      <c r="M158">
        <f>lat(coord!$B$2,coord!$C$2,coord!$D$2)</f>
        <v>45.411171275371856</v>
      </c>
      <c r="N158">
        <f>lon(coord!$B$2,coord!$C$2,coord!$D$2)</f>
        <v>11.896106531717408</v>
      </c>
      <c r="O158" s="7">
        <f t="shared" si="12"/>
        <v>42.200062521821309</v>
      </c>
      <c r="P158">
        <f t="shared" si="13"/>
        <v>0.12632359756801503</v>
      </c>
      <c r="Q158">
        <f t="shared" si="14"/>
        <v>0.9919890869850706</v>
      </c>
      <c r="R158" s="7">
        <f t="shared" si="15"/>
        <v>19.153304822670094</v>
      </c>
    </row>
    <row r="159" spans="1:18">
      <c r="A159">
        <f>tetto_ionofree_PR!A159</f>
        <v>42</v>
      </c>
      <c r="B159">
        <f>tetto_ionofree_PR!B159</f>
        <v>0.6</v>
      </c>
      <c r="C159">
        <f>tetto_ionofree_PR!C159</f>
        <v>13</v>
      </c>
      <c r="D159">
        <f>tetto_ionofree_PR!D159</f>
        <v>20217866.230023615</v>
      </c>
      <c r="E159">
        <f>tetto!$D159</f>
        <v>20217863.524999999</v>
      </c>
      <c r="F159">
        <f>tetto!$G159</f>
        <v>20217861.774999999</v>
      </c>
      <c r="G159">
        <f>tetto_ionofree_PR!$E159</f>
        <v>72.316904492321811</v>
      </c>
      <c r="H159">
        <f>tetto_ionofree_PR!$L159</f>
        <v>32.227125201057682</v>
      </c>
      <c r="I159">
        <f>DEGREES(ACOS(6378*COS(RADIANS(G159))/(6378+coord!B$18)))</f>
        <v>73.391758130603677</v>
      </c>
      <c r="J159" s="7">
        <f>-(10^-16)*(E159-$D159)*(coord!$B$10*10^6)^2*SIN(RADIANS($I159))/40.3</f>
        <v>15.964371076810625</v>
      </c>
      <c r="K159">
        <f>-(10^-16)*(F159-$D159)*(coord!$B$11*10^6)^2*SIN(RADIANS($I159))/40.3</f>
        <v>15.964371073873759</v>
      </c>
      <c r="L159">
        <f>DEGREES(coord!$B$18/(6378*TAN(RADIANS(I159))))</f>
        <v>1.0717835330619714</v>
      </c>
      <c r="M159">
        <f>lat(coord!$B$2,coord!$C$2,coord!$D$2)</f>
        <v>45.411171275371856</v>
      </c>
      <c r="N159">
        <f>lon(coord!$B$2,coord!$C$2,coord!$D$2)</f>
        <v>11.896106531717408</v>
      </c>
      <c r="O159" s="7">
        <f t="shared" si="12"/>
        <v>46.3148820626283</v>
      </c>
      <c r="P159">
        <f t="shared" si="13"/>
        <v>1.4441947666048491E-2</v>
      </c>
      <c r="Q159">
        <f t="shared" si="14"/>
        <v>0.99989570963556529</v>
      </c>
      <c r="R159" s="7">
        <f t="shared" si="15"/>
        <v>12.723597947591248</v>
      </c>
    </row>
    <row r="160" spans="1:18">
      <c r="A160">
        <f>tetto_ionofree_PR!A160</f>
        <v>42</v>
      </c>
      <c r="B160">
        <f>tetto_ionofree_PR!B160</f>
        <v>0.6</v>
      </c>
      <c r="C160">
        <f>tetto_ionofree_PR!C160</f>
        <v>7</v>
      </c>
      <c r="D160">
        <f>tetto_ionofree_PR!D160</f>
        <v>21546404.448969092</v>
      </c>
      <c r="E160">
        <f>tetto!$D160</f>
        <v>21546403.081</v>
      </c>
      <c r="F160">
        <f>tetto!$G160</f>
        <v>21546402.195999999</v>
      </c>
      <c r="G160">
        <f>tetto_ionofree_PR!$E160</f>
        <v>48.433865329955033</v>
      </c>
      <c r="H160">
        <f>tetto_ionofree_PR!$L160</f>
        <v>175.24363766906117</v>
      </c>
      <c r="I160">
        <f>DEGREES(ACOS(6378*COS(RADIANS(G160))/(6378+coord!B$18)))</f>
        <v>51.367049118984106</v>
      </c>
      <c r="J160" s="7">
        <f>-(10^-16)*(E160-$D160)*(coord!$B$10*10^6)^2*SIN(RADIANS($I160))/40.3</f>
        <v>6.581195710914737</v>
      </c>
      <c r="K160">
        <f>-(10^-16)*(F160-$D160)*(coord!$B$11*10^6)^2*SIN(RADIANS($I160))/40.3</f>
        <v>6.5811957033487074</v>
      </c>
      <c r="L160">
        <f>DEGREES(coord!$B$18/(6378*TAN(RADIANS(I160))))</f>
        <v>2.8719093149249835</v>
      </c>
      <c r="M160">
        <f>lat(coord!$B$2,coord!$C$2,coord!$D$2)</f>
        <v>45.411171275371856</v>
      </c>
      <c r="N160">
        <f>lon(coord!$B$2,coord!$C$2,coord!$D$2)</f>
        <v>11.896106531717408</v>
      </c>
      <c r="O160" s="7">
        <f t="shared" si="12"/>
        <v>42.548681609018423</v>
      </c>
      <c r="P160">
        <f t="shared" si="13"/>
        <v>5.6393249408786999E-3</v>
      </c>
      <c r="Q160">
        <f t="shared" si="14"/>
        <v>0.99998409888068296</v>
      </c>
      <c r="R160" s="7">
        <f t="shared" si="15"/>
        <v>12.219217762744513</v>
      </c>
    </row>
    <row r="162" spans="1:18">
      <c r="A162">
        <f>tetto_ionofree_PR!A162</f>
        <v>44</v>
      </c>
      <c r="B162">
        <f>tetto_ionofree_PR!B162</f>
        <v>0.6166666666666667</v>
      </c>
      <c r="C162">
        <f>tetto_ionofree_PR!C162</f>
        <v>2</v>
      </c>
      <c r="D162">
        <f>tetto_ionofree_PR!D162</f>
        <v>22360841.026884928</v>
      </c>
      <c r="E162">
        <f>tetto!$D162</f>
        <v>22360836.535</v>
      </c>
      <c r="F162">
        <f>tetto!$G162</f>
        <v>22360833.629000001</v>
      </c>
      <c r="G162">
        <f>tetto_ionofree_PR!$E162</f>
        <v>33.150659349439479</v>
      </c>
      <c r="H162">
        <f>tetto_ionofree_PR!$L162</f>
        <v>-57.328171955026761</v>
      </c>
      <c r="I162">
        <f>DEGREES(ACOS(6378*COS(RADIANS(G162))/(6378+coord!B$18)))</f>
        <v>38.017140442701006</v>
      </c>
      <c r="J162" s="7">
        <f>-(10^-16)*(E162-$D162)*(coord!$B$10*10^6)^2*SIN(RADIANS($I162))/40.3</f>
        <v>17.038231136141757</v>
      </c>
      <c r="K162">
        <f>-(10^-16)*(F162-$D162)*(coord!$B$11*10^6)^2*SIN(RADIANS($I162))/40.3</f>
        <v>17.038231136401539</v>
      </c>
      <c r="L162">
        <f>DEGREES(coord!$B$18/(6378*TAN(RADIANS(I162))))</f>
        <v>4.5964283519630325</v>
      </c>
      <c r="M162">
        <f>lat(coord!$B$2,coord!$C$2,coord!$D$2)</f>
        <v>45.411171275371856</v>
      </c>
      <c r="N162">
        <f>lon(coord!$B$2,coord!$C$2,coord!$D$2)</f>
        <v>11.896106531717408</v>
      </c>
      <c r="O162" s="7">
        <f t="shared" si="12"/>
        <v>47.752003499587424</v>
      </c>
      <c r="P162">
        <f t="shared" si="13"/>
        <v>-0.10033191129663865</v>
      </c>
      <c r="Q162">
        <f t="shared" si="14"/>
        <v>0.99495402284505752</v>
      </c>
      <c r="R162" s="7">
        <f t="shared" si="15"/>
        <v>6.1378228125020691</v>
      </c>
    </row>
    <row r="163" spans="1:18">
      <c r="A163">
        <f>tetto_ionofree_PR!A163</f>
        <v>44</v>
      </c>
      <c r="B163">
        <f>tetto_ionofree_PR!B163</f>
        <v>0.6166666666666667</v>
      </c>
      <c r="C163">
        <f>tetto_ionofree_PR!C163</f>
        <v>23</v>
      </c>
      <c r="D163">
        <f>tetto_ionofree_PR!D163</f>
        <v>21334777.271156721</v>
      </c>
      <c r="E163">
        <f>tetto!$D163</f>
        <v>21334771.756000001</v>
      </c>
      <c r="F163">
        <f>tetto!$G163</f>
        <v>21334768.188000001</v>
      </c>
      <c r="G163">
        <f>tetto_ionofree_PR!$E163</f>
        <v>47.460299642355494</v>
      </c>
      <c r="H163">
        <f>tetto_ionofree_PR!$L163</f>
        <v>59.05861041728717</v>
      </c>
      <c r="I163">
        <f>DEGREES(ACOS(6378*COS(RADIANS(G163))/(6378+coord!B$18)))</f>
        <v>50.490869411150193</v>
      </c>
      <c r="J163" s="7">
        <f>-(10^-16)*(E163-$D163)*(coord!$B$10*10^6)^2*SIN(RADIANS($I163))/40.3</f>
        <v>26.205624632107064</v>
      </c>
      <c r="K163">
        <f>-(10^-16)*(F163-$D163)*(coord!$B$11*10^6)^2*SIN(RADIANS($I163))/40.3</f>
        <v>26.205624631626403</v>
      </c>
      <c r="L163">
        <f>DEGREES(coord!$B$18/(6378*TAN(RADIANS(I163))))</f>
        <v>2.9630814000345631</v>
      </c>
      <c r="M163">
        <f>lat(coord!$B$2,coord!$C$2,coord!$D$2)</f>
        <v>45.411171275371856</v>
      </c>
      <c r="N163">
        <f>lon(coord!$B$2,coord!$C$2,coord!$D$2)</f>
        <v>11.896106531717408</v>
      </c>
      <c r="O163" s="7">
        <f t="shared" si="12"/>
        <v>46.875423153105508</v>
      </c>
      <c r="P163">
        <f t="shared" si="13"/>
        <v>6.4858340332182698E-2</v>
      </c>
      <c r="Q163">
        <f t="shared" si="14"/>
        <v>0.9978944812400532</v>
      </c>
      <c r="R163" s="7">
        <f t="shared" si="15"/>
        <v>15.614826010052395</v>
      </c>
    </row>
    <row r="164" spans="1:18">
      <c r="A164">
        <f>tetto_ionofree_PR!A164</f>
        <v>44</v>
      </c>
      <c r="B164">
        <f>tetto_ionofree_PR!B164</f>
        <v>0.6166666666666667</v>
      </c>
      <c r="C164">
        <f>tetto_ionofree_PR!C164</f>
        <v>10</v>
      </c>
      <c r="D164">
        <f>tetto_ionofree_PR!D164</f>
        <v>22585465.047163591</v>
      </c>
      <c r="E164">
        <f>tetto!$D164</f>
        <v>22585464.636</v>
      </c>
      <c r="F164">
        <f>tetto!$G164</f>
        <v>22585464.370000001</v>
      </c>
      <c r="G164">
        <f>tetto_ionofree_PR!$E164</f>
        <v>30.041547301041206</v>
      </c>
      <c r="H164">
        <f>tetto_ionofree_PR!$L164</f>
        <v>-58.720159078508374</v>
      </c>
      <c r="I164">
        <f>DEGREES(ACOS(6378*COS(RADIANS(G164))/(6378+coord!B$18)))</f>
        <v>35.454540968672148</v>
      </c>
      <c r="J164" s="7">
        <f>-(10^-16)*(E164-$D164)*(coord!$B$10*10^6)^2*SIN(RADIANS($I164))/40.3</f>
        <v>1.4688345176039657</v>
      </c>
      <c r="K164">
        <f>-(10^-16)*(F164-$D164)*(coord!$B$11*10^6)^2*SIN(RADIANS($I164))/40.3</f>
        <v>1.4688345133527136</v>
      </c>
      <c r="L164">
        <f>DEGREES(coord!$B$18/(6378*TAN(RADIANS(I164))))</f>
        <v>5.0461384388352153</v>
      </c>
      <c r="M164">
        <f>lat(coord!$B$2,coord!$C$2,coord!$D$2)</f>
        <v>45.411171275371856</v>
      </c>
      <c r="N164">
        <f>lon(coord!$B$2,coord!$C$2,coord!$D$2)</f>
        <v>11.896106531717408</v>
      </c>
      <c r="O164" s="7">
        <f t="shared" si="12"/>
        <v>47.856213938443453</v>
      </c>
      <c r="P164">
        <f t="shared" si="13"/>
        <v>-0.11203163412765799</v>
      </c>
      <c r="Q164">
        <f t="shared" si="14"/>
        <v>0.99370464070300424</v>
      </c>
      <c r="R164" s="7">
        <f t="shared" si="15"/>
        <v>5.463662869343513</v>
      </c>
    </row>
    <row r="165" spans="1:18">
      <c r="A165">
        <f>tetto_ionofree_PR!A165</f>
        <v>44</v>
      </c>
      <c r="B165">
        <f>tetto_ionofree_PR!B165</f>
        <v>0.6166666666666667</v>
      </c>
      <c r="C165">
        <f>tetto_ionofree_PR!C165</f>
        <v>4</v>
      </c>
      <c r="D165">
        <f>tetto_ionofree_PR!D165</f>
        <v>21284395.157571487</v>
      </c>
      <c r="E165">
        <f>tetto!$D165</f>
        <v>21284394.495999999</v>
      </c>
      <c r="F165">
        <f>tetto!$G165</f>
        <v>21284394.068</v>
      </c>
      <c r="G165">
        <f>tetto_ionofree_PR!$E165</f>
        <v>52.502780263682126</v>
      </c>
      <c r="H165">
        <f>tetto_ionofree_PR!$L165</f>
        <v>240.84667078809491</v>
      </c>
      <c r="I165">
        <f>DEGREES(ACOS(6378*COS(RADIANS(G165))/(6378+coord!B$18)))</f>
        <v>55.054326586915657</v>
      </c>
      <c r="J165" s="7">
        <f>-(10^-16)*(E165-$D165)*(coord!$B$10*10^6)^2*SIN(RADIANS($I165))/40.3</f>
        <v>3.3397734565494921</v>
      </c>
      <c r="K165">
        <f>-(10^-16)*(F165-$D165)*(coord!$B$11*10^6)^2*SIN(RADIANS($I165))/40.3</f>
        <v>3.3397734588459445</v>
      </c>
      <c r="L165">
        <f>DEGREES(coord!$B$18/(6378*TAN(RADIANS(I165))))</f>
        <v>2.5110083420384028</v>
      </c>
      <c r="M165">
        <f>lat(coord!$B$2,coord!$C$2,coord!$D$2)</f>
        <v>45.411171275371856</v>
      </c>
      <c r="N165">
        <f>lon(coord!$B$2,coord!$C$2,coord!$D$2)</f>
        <v>11.896106531717408</v>
      </c>
      <c r="O165" s="7">
        <f t="shared" si="12"/>
        <v>44.146573765862634</v>
      </c>
      <c r="P165">
        <f t="shared" si="13"/>
        <v>-5.3321338160279952E-2</v>
      </c>
      <c r="Q165">
        <f t="shared" si="14"/>
        <v>0.99857740556092955</v>
      </c>
      <c r="R165" s="7">
        <f t="shared" si="15"/>
        <v>8.8395693553726673</v>
      </c>
    </row>
    <row r="166" spans="1:18">
      <c r="A166">
        <f>tetto_ionofree_PR!A166</f>
        <v>44</v>
      </c>
      <c r="B166">
        <f>tetto_ionofree_PR!B166</f>
        <v>0.6166666666666667</v>
      </c>
      <c r="C166">
        <f>tetto_ionofree_PR!C166</f>
        <v>20</v>
      </c>
      <c r="D166">
        <f>tetto_ionofree_PR!D166</f>
        <v>23399850.973772436</v>
      </c>
      <c r="E166">
        <f>tetto!$D166</f>
        <v>23399850.204</v>
      </c>
      <c r="F166">
        <f>tetto!$G166</f>
        <v>23399849.706</v>
      </c>
      <c r="G166">
        <f>tetto_ionofree_PR!$E166</f>
        <v>23.098604760839109</v>
      </c>
      <c r="H166">
        <f>tetto_ionofree_PR!$L166</f>
        <v>119.21975603195352</v>
      </c>
      <c r="I166">
        <f>DEGREES(ACOS(6378*COS(RADIANS(G166))/(6378+coord!B$18)))</f>
        <v>30.054693366437032</v>
      </c>
      <c r="J166" s="7">
        <f>-(10^-16)*(E166-$D166)*(coord!$B$10*10^6)^2*SIN(RADIANS($I166))/40.3</f>
        <v>2.3743092613283077</v>
      </c>
      <c r="K166">
        <f>-(10^-16)*(F166-$D166)*(coord!$B$11*10^6)^2*SIN(RADIANS($I166))/40.3</f>
        <v>2.3743092583534784</v>
      </c>
      <c r="L166">
        <f>DEGREES(coord!$B$18/(6378*TAN(RADIANS(I166))))</f>
        <v>6.2101466768595364</v>
      </c>
      <c r="M166">
        <f>lat(coord!$B$2,coord!$C$2,coord!$D$2)</f>
        <v>45.411171275371856</v>
      </c>
      <c r="N166">
        <f>lon(coord!$B$2,coord!$C$2,coord!$D$2)</f>
        <v>11.896106531717408</v>
      </c>
      <c r="O166" s="7">
        <f t="shared" si="12"/>
        <v>42.137537991447786</v>
      </c>
      <c r="P166">
        <f t="shared" si="13"/>
        <v>0.12731741331108118</v>
      </c>
      <c r="Q166">
        <f t="shared" si="14"/>
        <v>0.99186202481382235</v>
      </c>
      <c r="R166" s="7">
        <f t="shared" si="15"/>
        <v>19.210709778706835</v>
      </c>
    </row>
    <row r="167" spans="1:18">
      <c r="A167">
        <f>tetto_ionofree_PR!A167</f>
        <v>44</v>
      </c>
      <c r="B167">
        <f>tetto_ionofree_PR!B167</f>
        <v>0.6166666666666667</v>
      </c>
      <c r="C167">
        <f>tetto_ionofree_PR!C167</f>
        <v>13</v>
      </c>
      <c r="D167">
        <f>tetto_ionofree_PR!D167</f>
        <v>20228409.941581357</v>
      </c>
      <c r="E167">
        <f>tetto!$D167</f>
        <v>20228407.166999999</v>
      </c>
      <c r="F167">
        <f>tetto!$G167</f>
        <v>20228405.372000001</v>
      </c>
      <c r="G167">
        <f>tetto_ionofree_PR!$E167</f>
        <v>71.904867813572281</v>
      </c>
      <c r="H167">
        <f>tetto_ionofree_PR!$L167</f>
        <v>33.032390754891402</v>
      </c>
      <c r="I167">
        <f>DEGREES(ACOS(6378*COS(RADIANS(G167))/(6378+coord!B$18)))</f>
        <v>73.006330791770608</v>
      </c>
      <c r="J167" s="7">
        <f>-(10^-16)*(E167-$D167)*(coord!$B$10*10^6)^2*SIN(RADIANS($I167))/40.3</f>
        <v>16.341657749340786</v>
      </c>
      <c r="K167">
        <f>-(10^-16)*(F167-$D167)*(coord!$B$11*10^6)^2*SIN(RADIANS($I167))/40.3</f>
        <v>16.341657759895021</v>
      </c>
      <c r="L167">
        <f>DEGREES(coord!$B$18/(6378*TAN(RADIANS(I167))))</f>
        <v>1.0981596368934956</v>
      </c>
      <c r="M167">
        <f>lat(coord!$B$2,coord!$C$2,coord!$D$2)</f>
        <v>45.411171275371856</v>
      </c>
      <c r="N167">
        <f>lon(coord!$B$2,coord!$C$2,coord!$D$2)</f>
        <v>11.896106531717408</v>
      </c>
      <c r="O167" s="7">
        <f t="shared" si="12"/>
        <v>46.328585040062684</v>
      </c>
      <c r="P167">
        <f t="shared" si="13"/>
        <v>1.5129534263460497E-2</v>
      </c>
      <c r="Q167">
        <f t="shared" si="14"/>
        <v>0.99988554204617386</v>
      </c>
      <c r="R167" s="7">
        <f t="shared" si="15"/>
        <v>12.762998065475026</v>
      </c>
    </row>
    <row r="168" spans="1:18">
      <c r="A168">
        <f>tetto_ionofree_PR!A168</f>
        <v>44</v>
      </c>
      <c r="B168">
        <f>tetto_ionofree_PR!B168</f>
        <v>0.6166666666666667</v>
      </c>
      <c r="C168">
        <f>tetto_ionofree_PR!C168</f>
        <v>7</v>
      </c>
      <c r="D168">
        <f>tetto_ionofree_PR!D168</f>
        <v>21516539.960703738</v>
      </c>
      <c r="E168">
        <f>tetto!$D168</f>
        <v>21516538.550999999</v>
      </c>
      <c r="F168">
        <f>tetto!$G168</f>
        <v>21516537.638999999</v>
      </c>
      <c r="G168">
        <f>tetto_ionofree_PR!$E168</f>
        <v>48.9259945489976</v>
      </c>
      <c r="H168">
        <f>tetto_ionofree_PR!$L168</f>
        <v>175.11477621627546</v>
      </c>
      <c r="I168">
        <f>DEGREES(ACOS(6378*COS(RADIANS(G168))/(6378+coord!B$18)))</f>
        <v>51.810903827069026</v>
      </c>
      <c r="J168" s="7">
        <f>-(10^-16)*(E168-$D168)*(coord!$B$10*10^6)^2*SIN(RADIANS($I168))/40.3</f>
        <v>6.8237641457221532</v>
      </c>
      <c r="K168">
        <f>-(10^-16)*(F168-$D168)*(coord!$B$11*10^6)^2*SIN(RADIANS($I168))/40.3</f>
        <v>6.8237641405091773</v>
      </c>
      <c r="L168">
        <f>DEGREES(coord!$B$18/(6378*TAN(RADIANS(I168))))</f>
        <v>2.8265712883729766</v>
      </c>
      <c r="M168">
        <f>lat(coord!$B$2,coord!$C$2,coord!$D$2)</f>
        <v>45.411171275371856</v>
      </c>
      <c r="N168">
        <f>lon(coord!$B$2,coord!$C$2,coord!$D$2)</f>
        <v>11.896106531717408</v>
      </c>
      <c r="O168" s="7">
        <f t="shared" si="12"/>
        <v>42.594387039157475</v>
      </c>
      <c r="P168">
        <f t="shared" si="13"/>
        <v>5.704563438333466E-3</v>
      </c>
      <c r="Q168">
        <f t="shared" si="14"/>
        <v>0.99998372884561393</v>
      </c>
      <c r="R168" s="7">
        <f t="shared" si="15"/>
        <v>12.222955713438308</v>
      </c>
    </row>
    <row r="170" spans="1:18">
      <c r="A170">
        <f>tetto_ionofree_PR!A170</f>
        <v>46</v>
      </c>
      <c r="B170">
        <f>tetto_ionofree_PR!B170</f>
        <v>0.6333333333333333</v>
      </c>
      <c r="C170">
        <f>tetto_ionofree_PR!C170</f>
        <v>2</v>
      </c>
      <c r="D170">
        <f>tetto_ionofree_PR!D170</f>
        <v>22339170.220905967</v>
      </c>
      <c r="E170">
        <f>tetto!$D170</f>
        <v>22339165.609999999</v>
      </c>
      <c r="F170">
        <f>tetto!$G170</f>
        <v>22339162.627</v>
      </c>
      <c r="G170">
        <f>tetto_ionofree_PR!$E170</f>
        <v>33.394382443014251</v>
      </c>
      <c r="H170">
        <f>tetto_ionofree_PR!$L170</f>
        <v>-57.743532179508776</v>
      </c>
      <c r="I170">
        <f>DEGREES(ACOS(6378*COS(RADIANS(G170))/(6378+coord!B$18)))</f>
        <v>38.220965764583418</v>
      </c>
      <c r="J170" s="7">
        <f>-(10^-16)*(E170-$D170)*(coord!$B$10*10^6)^2*SIN(RADIANS($I170))/40.3</f>
        <v>17.569167274736532</v>
      </c>
      <c r="K170">
        <f>-(10^-16)*(F170-$D170)*(coord!$B$11*10^6)^2*SIN(RADIANS($I170))/40.3</f>
        <v>17.569167273458081</v>
      </c>
      <c r="L170">
        <f>DEGREES(coord!$B$18/(6378*TAN(RADIANS(I170))))</f>
        <v>4.5628818510462716</v>
      </c>
      <c r="M170">
        <f>lat(coord!$B$2,coord!$C$2,coord!$D$2)</f>
        <v>45.411171275371856</v>
      </c>
      <c r="N170">
        <f>lon(coord!$B$2,coord!$C$2,coord!$D$2)</f>
        <v>11.896106531717408</v>
      </c>
      <c r="O170" s="7">
        <f t="shared" si="12"/>
        <v>47.706902194548512</v>
      </c>
      <c r="P170">
        <f t="shared" si="13"/>
        <v>-9.9975016105595324E-2</v>
      </c>
      <c r="Q170">
        <f t="shared" si="14"/>
        <v>0.99498994776564742</v>
      </c>
      <c r="R170" s="7">
        <f t="shared" si="15"/>
        <v>6.1583747358306162</v>
      </c>
    </row>
    <row r="171" spans="1:18">
      <c r="A171">
        <f>tetto_ionofree_PR!A171</f>
        <v>46</v>
      </c>
      <c r="B171">
        <f>tetto_ionofree_PR!B171</f>
        <v>0.6333333333333333</v>
      </c>
      <c r="C171">
        <f>tetto_ionofree_PR!C171</f>
        <v>23</v>
      </c>
      <c r="D171">
        <f>tetto_ionofree_PR!D171</f>
        <v>21358890.784769855</v>
      </c>
      <c r="E171">
        <f>tetto!$D171</f>
        <v>21358885.401000001</v>
      </c>
      <c r="F171">
        <f>tetto!$G171</f>
        <v>21358881.918000001</v>
      </c>
      <c r="G171">
        <f>tetto_ionofree_PR!$E171</f>
        <v>47.04765613596777</v>
      </c>
      <c r="H171">
        <f>tetto_ionofree_PR!$L171</f>
        <v>59.314745906875096</v>
      </c>
      <c r="I171">
        <f>DEGREES(ACOS(6378*COS(RADIANS(G171))/(6378+coord!B$18)))</f>
        <v>50.120286433692414</v>
      </c>
      <c r="J171" s="7">
        <f>-(10^-16)*(E171-$D171)*(coord!$B$10*10^6)^2*SIN(RADIANS($I171))/40.3</f>
        <v>25.444360523212616</v>
      </c>
      <c r="K171">
        <f>-(10^-16)*(F171-$D171)*(coord!$B$11*10^6)^2*SIN(RADIANS($I171))/40.3</f>
        <v>25.444360526882924</v>
      </c>
      <c r="L171">
        <f>DEGREES(coord!$B$18/(6378*TAN(RADIANS(I171))))</f>
        <v>3.0023360879174801</v>
      </c>
      <c r="M171">
        <f>lat(coord!$B$2,coord!$C$2,coord!$D$2)</f>
        <v>45.411171275371856</v>
      </c>
      <c r="N171">
        <f>lon(coord!$B$2,coord!$C$2,coord!$D$2)</f>
        <v>11.896106531717408</v>
      </c>
      <c r="O171" s="7">
        <f t="shared" si="12"/>
        <v>46.882162430471666</v>
      </c>
      <c r="P171">
        <f t="shared" si="13"/>
        <v>6.5900529489812676E-2</v>
      </c>
      <c r="Q171">
        <f t="shared" si="14"/>
        <v>0.99782619739760414</v>
      </c>
      <c r="R171" s="7">
        <f t="shared" si="15"/>
        <v>15.674667084404778</v>
      </c>
    </row>
    <row r="172" spans="1:18">
      <c r="A172">
        <f>tetto_ionofree_PR!A172</f>
        <v>46</v>
      </c>
      <c r="B172">
        <f>tetto_ionofree_PR!B172</f>
        <v>0.6333333333333333</v>
      </c>
      <c r="C172">
        <f>tetto_ionofree_PR!C172</f>
        <v>10</v>
      </c>
      <c r="D172">
        <f>tetto_ionofree_PR!D172</f>
        <v>22552163.699913271</v>
      </c>
      <c r="E172">
        <f>tetto!$D172</f>
        <v>22552163.162</v>
      </c>
      <c r="F172">
        <f>tetto!$G172</f>
        <v>22552162.813999999</v>
      </c>
      <c r="G172">
        <f>tetto_ionofree_PR!$E172</f>
        <v>30.450263343579891</v>
      </c>
      <c r="H172">
        <f>tetto_ionofree_PR!$L172</f>
        <v>-58.573505151940793</v>
      </c>
      <c r="I172">
        <f>DEGREES(ACOS(6378*COS(RADIANS(G172))/(6378+coord!B$18)))</f>
        <v>35.787163302628088</v>
      </c>
      <c r="J172" s="7">
        <f>-(10^-16)*(E172-$D172)*(coord!$B$10*10^6)^2*SIN(RADIANS($I172))/40.3</f>
        <v>1.9372667413307216</v>
      </c>
      <c r="K172">
        <f>-(10^-16)*(F172-$D172)*(coord!$B$11*10^6)^2*SIN(RADIANS($I172))/40.3</f>
        <v>1.9372667399141776</v>
      </c>
      <c r="L172">
        <f>DEGREES(coord!$B$18/(6378*TAN(RADIANS(I172))))</f>
        <v>4.9846399582968726</v>
      </c>
      <c r="M172">
        <f>lat(coord!$B$2,coord!$C$2,coord!$D$2)</f>
        <v>45.411171275371856</v>
      </c>
      <c r="N172">
        <f>lon(coord!$B$2,coord!$C$2,coord!$D$2)</f>
        <v>11.896106531717408</v>
      </c>
      <c r="O172" s="7">
        <f t="shared" si="12"/>
        <v>47.840028218785292</v>
      </c>
      <c r="P172">
        <f t="shared" si="13"/>
        <v>-0.11046281147453613</v>
      </c>
      <c r="Q172">
        <f t="shared" si="14"/>
        <v>0.99388025801961721</v>
      </c>
      <c r="R172" s="7">
        <f t="shared" si="15"/>
        <v>5.5541112302857814</v>
      </c>
    </row>
    <row r="173" spans="1:18">
      <c r="A173">
        <f>tetto_ionofree_PR!A173</f>
        <v>46</v>
      </c>
      <c r="B173">
        <f>tetto_ionofree_PR!B173</f>
        <v>0.6333333333333333</v>
      </c>
      <c r="C173">
        <f>tetto_ionofree_PR!C173</f>
        <v>4</v>
      </c>
      <c r="D173">
        <f>tetto_ionofree_PR!D173</f>
        <v>21299870.797781456</v>
      </c>
      <c r="E173">
        <f>tetto!$D173</f>
        <v>21299869.977000002</v>
      </c>
      <c r="F173">
        <f>tetto!$G173</f>
        <v>21299869.445999999</v>
      </c>
      <c r="G173">
        <f>tetto_ionofree_PR!$E173</f>
        <v>52.257124458263966</v>
      </c>
      <c r="H173">
        <f>tetto_ionofree_PR!$L173</f>
        <v>240.16415767462311</v>
      </c>
      <c r="I173">
        <f>DEGREES(ACOS(6378*COS(RADIANS(G173))/(6378+coord!B$18)))</f>
        <v>54.830651361440047</v>
      </c>
      <c r="J173" s="7">
        <f>-(10^-16)*(E173-$D173)*(coord!$B$10*10^6)^2*SIN(RADIANS($I173))/40.3</f>
        <v>4.1321689656340279</v>
      </c>
      <c r="K173">
        <f>-(10^-16)*(F173-$D173)*(coord!$B$11*10^6)^2*SIN(RADIANS($I173))/40.3</f>
        <v>4.1321689691894861</v>
      </c>
      <c r="L173">
        <f>DEGREES(coord!$B$18/(6378*TAN(RADIANS(I173))))</f>
        <v>2.5319435277348208</v>
      </c>
      <c r="M173">
        <f>lat(coord!$B$2,coord!$C$2,coord!$D$2)</f>
        <v>45.411171275371856</v>
      </c>
      <c r="N173">
        <f>lon(coord!$B$2,coord!$C$2,coord!$D$2)</f>
        <v>11.896106531717408</v>
      </c>
      <c r="O173" s="7">
        <f t="shared" si="12"/>
        <v>44.110028325228043</v>
      </c>
      <c r="P173">
        <f t="shared" si="13"/>
        <v>-5.3371513469988488E-2</v>
      </c>
      <c r="Q173">
        <f t="shared" si="14"/>
        <v>0.99857472507064926</v>
      </c>
      <c r="R173" s="7">
        <f t="shared" si="15"/>
        <v>8.8366904224788101</v>
      </c>
    </row>
    <row r="174" spans="1:18">
      <c r="A174">
        <f>tetto_ionofree_PR!A174</f>
        <v>46</v>
      </c>
      <c r="B174">
        <f>tetto_ionofree_PR!B174</f>
        <v>0.6333333333333333</v>
      </c>
      <c r="C174">
        <f>tetto_ionofree_PR!C174</f>
        <v>20</v>
      </c>
      <c r="D174">
        <f>tetto_ionofree_PR!D174</f>
        <v>23436312.701706313</v>
      </c>
      <c r="E174">
        <f>tetto!$D174</f>
        <v>23436312.306000002</v>
      </c>
      <c r="F174">
        <f>tetto!$G174</f>
        <v>23436312.050000001</v>
      </c>
      <c r="G174">
        <f>tetto_ionofree_PR!$E174</f>
        <v>22.715463554821355</v>
      </c>
      <c r="H174">
        <f>tetto_ionofree_PR!$L174</f>
        <v>119.4772613609709</v>
      </c>
      <c r="I174">
        <f>DEGREES(ACOS(6378*COS(RADIANS(G174))/(6378+coord!B$18)))</f>
        <v>29.773298167890406</v>
      </c>
      <c r="J174" s="7">
        <f>-(10^-16)*(E174-$D174)*(coord!$B$10*10^6)^2*SIN(RADIANS($I174))/40.3</f>
        <v>1.2101541067670591</v>
      </c>
      <c r="K174">
        <f>-(10^-16)*(F174-$D174)*(coord!$B$11*10^6)^2*SIN(RADIANS($I174))/40.3</f>
        <v>1.2101541096186044</v>
      </c>
      <c r="L174">
        <f>DEGREES(coord!$B$18/(6378*TAN(RADIANS(I174))))</f>
        <v>6.2811082290275904</v>
      </c>
      <c r="M174">
        <f>lat(coord!$B$2,coord!$C$2,coord!$D$2)</f>
        <v>45.411171275371856</v>
      </c>
      <c r="N174">
        <f>lon(coord!$B$2,coord!$C$2,coord!$D$2)</f>
        <v>11.896106531717408</v>
      </c>
      <c r="O174" s="7">
        <f t="shared" si="12"/>
        <v>42.074307568345468</v>
      </c>
      <c r="P174">
        <f t="shared" si="13"/>
        <v>0.12831339834888283</v>
      </c>
      <c r="Q174">
        <f t="shared" si="14"/>
        <v>0.99173366979454769</v>
      </c>
      <c r="R174" s="7">
        <f t="shared" si="15"/>
        <v>19.268247445766317</v>
      </c>
    </row>
    <row r="175" spans="1:18">
      <c r="A175">
        <f>tetto_ionofree_PR!A175</f>
        <v>46</v>
      </c>
      <c r="B175">
        <f>tetto_ionofree_PR!B175</f>
        <v>0.6333333333333333</v>
      </c>
      <c r="C175">
        <f>tetto_ionofree_PR!C175</f>
        <v>13</v>
      </c>
      <c r="D175">
        <f>tetto_ionofree_PR!D175</f>
        <v>20239232.685562041</v>
      </c>
      <c r="E175">
        <f>tetto!$D175</f>
        <v>20239229.506000001</v>
      </c>
      <c r="F175">
        <f>tetto!$G175</f>
        <v>20239227.449000001</v>
      </c>
      <c r="G175">
        <f>tetto_ionofree_PR!$E175</f>
        <v>71.492054753855541</v>
      </c>
      <c r="H175">
        <f>tetto_ionofree_PR!$L175</f>
        <v>33.813033736552747</v>
      </c>
      <c r="I175">
        <f>DEGREES(ACOS(6378*COS(RADIANS(G175))/(6378+coord!B$18)))</f>
        <v>72.620290953526748</v>
      </c>
      <c r="J175" s="7">
        <f>-(10^-16)*(E175-$D175)*(coord!$B$10*10^6)^2*SIN(RADIANS($I175))/40.3</f>
        <v>18.68791724339367</v>
      </c>
      <c r="K175">
        <f>-(10^-16)*(F175-$D175)*(coord!$B$11*10^6)^2*SIN(RADIANS($I175))/40.3</f>
        <v>18.687917253017471</v>
      </c>
      <c r="L175">
        <f>DEGREES(coord!$B$18/(6378*TAN(RADIANS(I175))))</f>
        <v>1.124686591601993</v>
      </c>
      <c r="M175">
        <f>lat(coord!$B$2,coord!$C$2,coord!$D$2)</f>
        <v>45.411171275371856</v>
      </c>
      <c r="N175">
        <f>lon(coord!$B$2,coord!$C$2,coord!$D$2)</f>
        <v>11.896106531717408</v>
      </c>
      <c r="O175" s="7">
        <f t="shared" si="12"/>
        <v>46.342080840425098</v>
      </c>
      <c r="P175">
        <f t="shared" si="13"/>
        <v>1.5822097684391932E-2</v>
      </c>
      <c r="Q175">
        <f t="shared" si="14"/>
        <v>0.99987482277776429</v>
      </c>
      <c r="R175" s="7">
        <f t="shared" si="15"/>
        <v>12.802683779999692</v>
      </c>
    </row>
    <row r="176" spans="1:18">
      <c r="A176">
        <f>tetto_ionofree_PR!A176</f>
        <v>46</v>
      </c>
      <c r="B176">
        <f>tetto_ionofree_PR!B176</f>
        <v>0.6333333333333333</v>
      </c>
      <c r="C176">
        <f>tetto_ionofree_PR!C176</f>
        <v>7</v>
      </c>
      <c r="D176">
        <f>tetto_ionofree_PR!D176</f>
        <v>21486995.463624299</v>
      </c>
      <c r="E176">
        <f>tetto!$D176</f>
        <v>21486993.989</v>
      </c>
      <c r="F176">
        <f>tetto!$G176</f>
        <v>21486993.035</v>
      </c>
      <c r="G176">
        <f>tetto_ionofree_PR!$E176</f>
        <v>49.41829467875705</v>
      </c>
      <c r="H176">
        <f>tetto_ionofree_PR!$L176</f>
        <v>174.98146393061927</v>
      </c>
      <c r="I176">
        <f>DEGREES(ACOS(6378*COS(RADIANS(G176))/(6378+coord!B$18)))</f>
        <v>52.255529585544267</v>
      </c>
      <c r="J176" s="7">
        <f>-(10^-16)*(E176-$D176)*(coord!$B$10*10^6)^2*SIN(RADIANS($I176))/40.3</f>
        <v>7.18137343062073</v>
      </c>
      <c r="K176">
        <f>-(10^-16)*(F176-$D176)*(coord!$B$11*10^6)^2*SIN(RADIANS($I176))/40.3</f>
        <v>7.1813734375544254</v>
      </c>
      <c r="L176">
        <f>DEGREES(coord!$B$18/(6378*TAN(RADIANS(I176))))</f>
        <v>2.7817051406702569</v>
      </c>
      <c r="M176">
        <f>lat(coord!$B$2,coord!$C$2,coord!$D$2)</f>
        <v>45.411171275371856</v>
      </c>
      <c r="N176">
        <f>lon(coord!$B$2,coord!$C$2,coord!$D$2)</f>
        <v>11.896106531717408</v>
      </c>
      <c r="O176" s="7">
        <f t="shared" si="12"/>
        <v>42.639637831601661</v>
      </c>
      <c r="P176">
        <f t="shared" si="13"/>
        <v>5.7710941913816363E-3</v>
      </c>
      <c r="Q176">
        <f t="shared" si="14"/>
        <v>0.99998334709725734</v>
      </c>
      <c r="R176" s="7">
        <f t="shared" si="15"/>
        <v>12.226767707547545</v>
      </c>
    </row>
    <row r="178" spans="1:18">
      <c r="A178">
        <f>tetto_ionofree_PR!A178</f>
        <v>48</v>
      </c>
      <c r="B178">
        <f>tetto_ionofree_PR!B178</f>
        <v>0.65</v>
      </c>
      <c r="C178">
        <f>tetto_ionofree_PR!C178</f>
        <v>2</v>
      </c>
      <c r="D178">
        <f>tetto_ionofree_PR!D178</f>
        <v>22317899.497650921</v>
      </c>
      <c r="E178">
        <f>tetto!$D178</f>
        <v>22317895.300999999</v>
      </c>
      <c r="F178">
        <f>tetto!$G178</f>
        <v>22317892.585999999</v>
      </c>
      <c r="G178">
        <f>tetto_ionofree_PR!$E178</f>
        <v>33.634123288318094</v>
      </c>
      <c r="H178">
        <f>tetto_ionofree_PR!$L178</f>
        <v>-58.164737944658299</v>
      </c>
      <c r="I178">
        <f>DEGREES(ACOS(6378*COS(RADIANS(G178))/(6378+coord!B$18)))</f>
        <v>38.421845126003319</v>
      </c>
      <c r="J178" s="7">
        <f>-(10^-16)*(E178-$D178)*(coord!$B$10*10^6)^2*SIN(RADIANS($I178))/40.3</f>
        <v>16.061802403513294</v>
      </c>
      <c r="K178">
        <f>-(10^-16)*(F178-$D178)*(coord!$B$11*10^6)^2*SIN(RADIANS($I178))/40.3</f>
        <v>16.061802404436719</v>
      </c>
      <c r="L178">
        <f>DEGREES(coord!$B$18/(6378*TAN(RADIANS(I178))))</f>
        <v>4.5301154391154679</v>
      </c>
      <c r="M178">
        <f>lat(coord!$B$2,coord!$C$2,coord!$D$2)</f>
        <v>45.411171275371856</v>
      </c>
      <c r="N178">
        <f>lon(coord!$B$2,coord!$C$2,coord!$D$2)</f>
        <v>11.896106531717408</v>
      </c>
      <c r="O178" s="7">
        <f t="shared" si="12"/>
        <v>47.662066068657438</v>
      </c>
      <c r="P178">
        <f t="shared" si="13"/>
        <v>-9.9630747730786728E-2</v>
      </c>
      <c r="Q178">
        <f t="shared" si="14"/>
        <v>0.99502447914943504</v>
      </c>
      <c r="R178" s="7">
        <f t="shared" si="15"/>
        <v>6.1781988380409283</v>
      </c>
    </row>
    <row r="179" spans="1:18">
      <c r="A179">
        <f>tetto_ionofree_PR!A179</f>
        <v>48</v>
      </c>
      <c r="B179">
        <f>tetto_ionofree_PR!B179</f>
        <v>0.65</v>
      </c>
      <c r="C179">
        <f>tetto_ionofree_PR!C179</f>
        <v>23</v>
      </c>
      <c r="D179">
        <f>tetto_ionofree_PR!D179</f>
        <v>21383183.520345639</v>
      </c>
      <c r="E179">
        <f>tetto!$D179</f>
        <v>21383177.965</v>
      </c>
      <c r="F179">
        <f>tetto!$G179</f>
        <v>21383174.370999999</v>
      </c>
      <c r="G179">
        <f>tetto_ionofree_PR!$E179</f>
        <v>46.635972955663519</v>
      </c>
      <c r="H179">
        <f>tetto_ionofree_PR!$L179</f>
        <v>59.571520457505073</v>
      </c>
      <c r="I179">
        <f>DEGREES(ACOS(6378*COS(RADIANS(G179))/(6378+coord!B$18)))</f>
        <v>49.751047215253763</v>
      </c>
      <c r="J179" s="7">
        <f>-(10^-16)*(E179-$D179)*(coord!$B$10*10^6)^2*SIN(RADIANS($I179))/40.3</f>
        <v>26.113332913079258</v>
      </c>
      <c r="K179">
        <f>-(10^-16)*(F179-$D179)*(coord!$B$11*10^6)^2*SIN(RADIANS($I179))/40.3</f>
        <v>26.113332918808958</v>
      </c>
      <c r="L179">
        <f>DEGREES(coord!$B$18/(6378*TAN(RADIANS(I179))))</f>
        <v>3.0418726902497202</v>
      </c>
      <c r="M179">
        <f>lat(coord!$B$2,coord!$C$2,coord!$D$2)</f>
        <v>45.411171275371856</v>
      </c>
      <c r="N179">
        <f>lon(coord!$B$2,coord!$C$2,coord!$D$2)</f>
        <v>11.896106531717408</v>
      </c>
      <c r="O179" s="7">
        <f t="shared" si="12"/>
        <v>46.888633611626766</v>
      </c>
      <c r="P179">
        <f t="shared" si="13"/>
        <v>6.6952504296146256E-2</v>
      </c>
      <c r="Q179">
        <f t="shared" si="14"/>
        <v>0.99775616368352982</v>
      </c>
      <c r="R179" s="7">
        <f t="shared" si="15"/>
        <v>15.735074223843732</v>
      </c>
    </row>
    <row r="180" spans="1:18">
      <c r="A180">
        <f>tetto_ionofree_PR!A180</f>
        <v>48</v>
      </c>
      <c r="B180">
        <f>tetto_ionofree_PR!B180</f>
        <v>0.65</v>
      </c>
      <c r="C180">
        <f>tetto_ionofree_PR!C180</f>
        <v>10</v>
      </c>
      <c r="D180">
        <f>tetto_ionofree_PR!D180</f>
        <v>22518998.290638894</v>
      </c>
      <c r="E180">
        <f>tetto!$D180</f>
        <v>22518997.761999998</v>
      </c>
      <c r="F180">
        <f>tetto!$G180</f>
        <v>22518997.420000002</v>
      </c>
      <c r="G180">
        <f>tetto_ionofree_PR!$E180</f>
        <v>30.859974960317118</v>
      </c>
      <c r="H180">
        <f>tetto_ionofree_PR!$L180</f>
        <v>-58.429045297601931</v>
      </c>
      <c r="I180">
        <f>DEGREES(ACOS(6378*COS(RADIANS(G180))/(6378+coord!B$18)))</f>
        <v>36.121955633179262</v>
      </c>
      <c r="J180" s="7">
        <f>-(10^-16)*(E180-$D180)*(coord!$B$10*10^6)^2*SIN(RADIANS($I180))/40.3</f>
        <v>1.9192650650747025</v>
      </c>
      <c r="K180">
        <f>-(10^-16)*(F180-$D180)*(coord!$B$11*10^6)^2*SIN(RADIANS($I180))/40.3</f>
        <v>1.9192650646937501</v>
      </c>
      <c r="L180">
        <f>DEGREES(coord!$B$18/(6378*TAN(RADIANS(I180))))</f>
        <v>4.9237324513939162</v>
      </c>
      <c r="M180">
        <f>lat(coord!$B$2,coord!$C$2,coord!$D$2)</f>
        <v>45.411171275371856</v>
      </c>
      <c r="N180">
        <f>lon(coord!$B$2,coord!$C$2,coord!$D$2)</f>
        <v>11.896106531717408</v>
      </c>
      <c r="O180" s="7">
        <f t="shared" si="12"/>
        <v>47.823577848510745</v>
      </c>
      <c r="P180">
        <f t="shared" si="13"/>
        <v>-0.10891342414497422</v>
      </c>
      <c r="Q180">
        <f t="shared" si="14"/>
        <v>0.99405123914263938</v>
      </c>
      <c r="R180" s="7">
        <f t="shared" si="15"/>
        <v>5.6434234998144568</v>
      </c>
    </row>
    <row r="181" spans="1:18">
      <c r="A181">
        <f>tetto_ionofree_PR!A181</f>
        <v>48</v>
      </c>
      <c r="B181">
        <f>tetto_ionofree_PR!B181</f>
        <v>0.65</v>
      </c>
      <c r="C181">
        <f>tetto_ionofree_PR!C181</f>
        <v>4</v>
      </c>
      <c r="D181">
        <f>tetto_ionofree_PR!D181</f>
        <v>21315758.280653924</v>
      </c>
      <c r="E181">
        <f>tetto!$D181</f>
        <v>21315757.666999999</v>
      </c>
      <c r="F181">
        <f>tetto!$G181</f>
        <v>21315757.27</v>
      </c>
      <c r="G181">
        <f>tetto_ionofree_PR!$E181</f>
        <v>52.005440207441019</v>
      </c>
      <c r="H181">
        <f>tetto_ionofree_PR!$L181</f>
        <v>239.49128875317049</v>
      </c>
      <c r="I181">
        <f>DEGREES(ACOS(6378*COS(RADIANS(G181))/(6378+coord!B$18)))</f>
        <v>54.601619053172811</v>
      </c>
      <c r="J181" s="7">
        <f>-(10^-16)*(E181-$D181)*(coord!$B$10*10^6)^2*SIN(RADIANS($I181))/40.3</f>
        <v>3.0806730031294478</v>
      </c>
      <c r="K181">
        <f>-(10^-16)*(F181-$D181)*(coord!$B$11*10^6)^2*SIN(RADIANS($I181))/40.3</f>
        <v>3.0806730114599117</v>
      </c>
      <c r="L181">
        <f>DEGREES(coord!$B$18/(6378*TAN(RADIANS(I181))))</f>
        <v>2.5534998055600004</v>
      </c>
      <c r="M181">
        <f>lat(coord!$B$2,coord!$C$2,coord!$D$2)</f>
        <v>45.411171275371856</v>
      </c>
      <c r="N181">
        <f>lon(coord!$B$2,coord!$C$2,coord!$D$2)</f>
        <v>11.896106531717408</v>
      </c>
      <c r="O181" s="7">
        <f t="shared" si="12"/>
        <v>44.073276713602112</v>
      </c>
      <c r="P181">
        <f t="shared" si="13"/>
        <v>-5.3426149435068508E-2</v>
      </c>
      <c r="Q181">
        <f t="shared" si="14"/>
        <v>0.99857180340551488</v>
      </c>
      <c r="R181" s="7">
        <f t="shared" si="15"/>
        <v>8.8335555396214005</v>
      </c>
    </row>
    <row r="182" spans="1:18">
      <c r="A182">
        <f>tetto_ionofree_PR!A182</f>
        <v>48</v>
      </c>
      <c r="B182">
        <f>tetto_ionofree_PR!B182</f>
        <v>0.65</v>
      </c>
      <c r="C182">
        <f>tetto_ionofree_PR!C182</f>
        <v>20</v>
      </c>
      <c r="D182">
        <f>tetto_ionofree_PR!D182</f>
        <v>23472911.683337487</v>
      </c>
      <c r="E182">
        <f>tetto!$D182</f>
        <v>23472911.317000002</v>
      </c>
      <c r="F182">
        <f>tetto!$G182</f>
        <v>23472911.079999998</v>
      </c>
      <c r="G182">
        <f>tetto_ionofree_PR!$E182</f>
        <v>22.332540727965508</v>
      </c>
      <c r="H182">
        <f>tetto_ionofree_PR!$L182</f>
        <v>119.73313927110217</v>
      </c>
      <c r="I182">
        <f>DEGREES(ACOS(6378*COS(RADIANS(G182))/(6378+coord!B$18)))</f>
        <v>29.494142149129761</v>
      </c>
      <c r="J182" s="7">
        <f>-(10^-16)*(E182-$D182)*(coord!$B$10*10^6)^2*SIN(RADIANS($I182))/40.3</f>
        <v>1.1107833408339463</v>
      </c>
      <c r="K182">
        <f>-(10^-16)*(F182-$D182)*(coord!$B$11*10^6)^2*SIN(RADIANS($I182))/40.3</f>
        <v>1.1107833451586118</v>
      </c>
      <c r="L182">
        <f>DEGREES(coord!$B$18/(6378*TAN(RADIANS(I182))))</f>
        <v>6.3527193348576869</v>
      </c>
      <c r="M182">
        <f>lat(coord!$B$2,coord!$C$2,coord!$D$2)</f>
        <v>45.411171275371856</v>
      </c>
      <c r="N182">
        <f>lon(coord!$B$2,coord!$C$2,coord!$D$2)</f>
        <v>11.896106531717408</v>
      </c>
      <c r="O182" s="7">
        <f t="shared" ref="O182:O200" si="16">DEGREES(ASIN(SIN(RADIANS(M182))*COS(RADIANS(L182))+COS(RADIANS(M182))*SIN(RADIANS(L182))*COS(RADIANS(H182))))</f>
        <v>42.010374528647702</v>
      </c>
      <c r="P182">
        <f t="shared" ref="P182:P200" si="17">SIN(RADIANS(L182))*SIN(RADIANS(H182))/COS(RADIANS(O182))</f>
        <v>0.12931127974211612</v>
      </c>
      <c r="Q182">
        <f t="shared" ref="Q182:Q200" si="18">(COS(RADIANS(L182))-SIN(RADIANS(M182))*SIN(RADIANS(O182)))/(COS(RADIANS(M182))*COS(RADIANS(O182)))</f>
        <v>0.99160405048157008</v>
      </c>
      <c r="R182" s="7">
        <f t="shared" ref="R182:R200" si="19">N182+DEGREES(ATAN2(Q182,P182))</f>
        <v>19.325902162739606</v>
      </c>
    </row>
    <row r="183" spans="1:18">
      <c r="A183">
        <f>tetto_ionofree_PR!A183</f>
        <v>48</v>
      </c>
      <c r="B183">
        <f>tetto_ionofree_PR!B183</f>
        <v>0.65</v>
      </c>
      <c r="C183">
        <f>tetto_ionofree_PR!C183</f>
        <v>13</v>
      </c>
      <c r="D183">
        <f>tetto_ionofree_PR!D183</f>
        <v>20250330.443035647</v>
      </c>
      <c r="E183">
        <f>tetto!$D183</f>
        <v>20250327.670000002</v>
      </c>
      <c r="F183">
        <f>tetto!$G183</f>
        <v>20250325.875999998</v>
      </c>
      <c r="G183">
        <f>tetto_ionofree_PR!$E183</f>
        <v>71.07857923289248</v>
      </c>
      <c r="H183">
        <f>tetto_ionofree_PR!$L183</f>
        <v>34.57067767255613</v>
      </c>
      <c r="I183">
        <f>DEGREES(ACOS(6378*COS(RADIANS(G183))/(6378+coord!B$18)))</f>
        <v>72.233748987072119</v>
      </c>
      <c r="J183" s="7">
        <f>-(10^-16)*(E183-$D183)*(coord!$B$10*10^6)^2*SIN(RADIANS($I183))/40.3</f>
        <v>16.263766737910814</v>
      </c>
      <c r="K183">
        <f>-(10^-16)*(F183-$D183)*(coord!$B$11*10^6)^2*SIN(RADIANS($I183))/40.3</f>
        <v>16.263766732191602</v>
      </c>
      <c r="L183">
        <f>DEGREES(coord!$B$18/(6378*TAN(RADIANS(I183))))</f>
        <v>1.1513603907155143</v>
      </c>
      <c r="M183">
        <f>lat(coord!$B$2,coord!$C$2,coord!$D$2)</f>
        <v>45.411171275371856</v>
      </c>
      <c r="N183">
        <f>lon(coord!$B$2,coord!$C$2,coord!$D$2)</f>
        <v>11.896106531717408</v>
      </c>
      <c r="O183" s="7">
        <f t="shared" si="16"/>
        <v>46.355368297735311</v>
      </c>
      <c r="P183">
        <f t="shared" si="17"/>
        <v>1.6519670213607542E-2</v>
      </c>
      <c r="Q183">
        <f t="shared" si="18"/>
        <v>0.99986354093747898</v>
      </c>
      <c r="R183" s="7">
        <f t="shared" si="19"/>
        <v>12.842656969425249</v>
      </c>
    </row>
    <row r="184" spans="1:18">
      <c r="A184">
        <f>tetto_ionofree_PR!A184</f>
        <v>48</v>
      </c>
      <c r="B184">
        <f>tetto_ionofree_PR!B184</f>
        <v>0.65</v>
      </c>
      <c r="C184">
        <f>tetto_ionofree_PR!C184</f>
        <v>7</v>
      </c>
      <c r="D184">
        <f>tetto_ionofree_PR!D184</f>
        <v>21457773.874249458</v>
      </c>
      <c r="E184">
        <f>tetto!$D184</f>
        <v>21457772.463</v>
      </c>
      <c r="F184">
        <f>tetto!$G184</f>
        <v>21457771.550000001</v>
      </c>
      <c r="G184">
        <f>tetto_ionofree_PR!$E184</f>
        <v>49.910730249170911</v>
      </c>
      <c r="H184">
        <f>tetto_ionofree_PR!$L184</f>
        <v>174.84349446086225</v>
      </c>
      <c r="I184">
        <f>DEGREES(ACOS(6378*COS(RADIANS(G184))/(6378+coord!B$18)))</f>
        <v>52.70087782429286</v>
      </c>
      <c r="J184" s="7">
        <f>-(10^-16)*(E184-$D184)*(coord!$B$10*10^6)^2*SIN(RADIANS($I184))/40.3</f>
        <v>6.9138861849703606</v>
      </c>
      <c r="K184">
        <f>-(10^-16)*(F184-$D184)*(coord!$B$11*10^6)^2*SIN(RADIANS($I184))/40.3</f>
        <v>6.9138861899939865</v>
      </c>
      <c r="L184">
        <f>DEGREES(coord!$B$18/(6378*TAN(RADIANS(I184))))</f>
        <v>2.7373032353936377</v>
      </c>
      <c r="M184">
        <f>lat(coord!$B$2,coord!$C$2,coord!$D$2)</f>
        <v>45.411171275371856</v>
      </c>
      <c r="N184">
        <f>lon(coord!$B$2,coord!$C$2,coord!$D$2)</f>
        <v>11.896106531717408</v>
      </c>
      <c r="O184" s="7">
        <f t="shared" si="16"/>
        <v>42.684442629984886</v>
      </c>
      <c r="P184">
        <f t="shared" si="17"/>
        <v>5.8389643587891879E-3</v>
      </c>
      <c r="Q184">
        <f t="shared" si="18"/>
        <v>0.99998295310231</v>
      </c>
      <c r="R184" s="7">
        <f t="shared" si="19"/>
        <v>12.230656447218227</v>
      </c>
    </row>
    <row r="186" spans="1:18">
      <c r="A186">
        <f>tetto_ionofree_PR!A186</f>
        <v>50</v>
      </c>
      <c r="B186">
        <f>tetto_ionofree_PR!B186</f>
        <v>0.66666666666666674</v>
      </c>
      <c r="C186">
        <f>tetto_ionofree_PR!C186</f>
        <v>2</v>
      </c>
      <c r="D186">
        <f>tetto_ionofree_PR!D186</f>
        <v>22297020.111136541</v>
      </c>
      <c r="E186">
        <f>tetto!$D186</f>
        <v>22297016.252999999</v>
      </c>
      <c r="F186">
        <f>tetto!$G186</f>
        <v>22297013.756999999</v>
      </c>
      <c r="G186">
        <f>tetto_ionofree_PR!$E186</f>
        <v>33.869802535172234</v>
      </c>
      <c r="H186">
        <f>tetto_ionofree_PR!$L186</f>
        <v>-58.591770580100672</v>
      </c>
      <c r="I186">
        <f>DEGREES(ACOS(6378*COS(RADIANS(G186))/(6378+coord!B$18)))</f>
        <v>38.619686928281432</v>
      </c>
      <c r="J186" s="7">
        <f>-(10^-16)*(E186-$D186)*(coord!$B$10*10^6)^2*SIN(RADIANS($I186))/40.3</f>
        <v>14.830401321233772</v>
      </c>
      <c r="K186">
        <f>-(10^-16)*(F186-$D186)*(coord!$B$11*10^6)^2*SIN(RADIANS($I186))/40.3</f>
        <v>14.830401315393807</v>
      </c>
      <c r="L186">
        <f>DEGREES(coord!$B$18/(6378*TAN(RADIANS(I186))))</f>
        <v>4.4981263954830055</v>
      </c>
      <c r="M186">
        <f>lat(coord!$B$2,coord!$C$2,coord!$D$2)</f>
        <v>45.411171275371856</v>
      </c>
      <c r="N186">
        <f>lon(coord!$B$2,coord!$C$2,coord!$D$2)</f>
        <v>11.896106531717408</v>
      </c>
      <c r="O186" s="7">
        <f t="shared" si="16"/>
        <v>47.617488526146815</v>
      </c>
      <c r="P186">
        <f t="shared" si="17"/>
        <v>-9.9298942036965349E-2</v>
      </c>
      <c r="Q186">
        <f t="shared" si="18"/>
        <v>0.99505764662673657</v>
      </c>
      <c r="R186" s="7">
        <f t="shared" si="19"/>
        <v>6.1973046482504435</v>
      </c>
    </row>
    <row r="187" spans="1:18">
      <c r="A187">
        <f>tetto_ionofree_PR!A187</f>
        <v>50</v>
      </c>
      <c r="B187">
        <f>tetto_ionofree_PR!B187</f>
        <v>0.66666666666666674</v>
      </c>
      <c r="C187">
        <f>tetto_ionofree_PR!C187</f>
        <v>23</v>
      </c>
      <c r="D187">
        <f>tetto_ionofree_PR!D187</f>
        <v>21407657.263870332</v>
      </c>
      <c r="E187">
        <f>tetto!$D187</f>
        <v>21407651.826000001</v>
      </c>
      <c r="F187">
        <f>tetto!$G187</f>
        <v>21407648.307999998</v>
      </c>
      <c r="G187">
        <f>tetto_ionofree_PR!$E187</f>
        <v>46.225248336935998</v>
      </c>
      <c r="H187">
        <f>tetto_ionofree_PR!$L187</f>
        <v>59.828924275466733</v>
      </c>
      <c r="I187">
        <f>DEGREES(ACOS(6378*COS(RADIANS(G187))/(6378+coord!B$18)))</f>
        <v>49.383158411051724</v>
      </c>
      <c r="J187" s="7">
        <f>-(10^-16)*(E187-$D187)*(coord!$B$10*10^6)^2*SIN(RADIANS($I187))/40.3</f>
        <v>25.421668476926886</v>
      </c>
      <c r="K187">
        <f>-(10^-16)*(F187-$D187)*(coord!$B$11*10^6)^2*SIN(RADIANS($I187))/40.3</f>
        <v>25.421668484393599</v>
      </c>
      <c r="L187">
        <f>DEGREES(coord!$B$18/(6378*TAN(RADIANS(I187))))</f>
        <v>3.0816960562688402</v>
      </c>
      <c r="M187">
        <f>lat(coord!$B$2,coord!$C$2,coord!$D$2)</f>
        <v>45.411171275371856</v>
      </c>
      <c r="N187">
        <f>lon(coord!$B$2,coord!$C$2,coord!$D$2)</f>
        <v>11.896106531717408</v>
      </c>
      <c r="O187" s="7">
        <f t="shared" si="16"/>
        <v>46.894832924939088</v>
      </c>
      <c r="P187">
        <f t="shared" si="17"/>
        <v>6.8014346976510306E-2</v>
      </c>
      <c r="Q187">
        <f t="shared" si="18"/>
        <v>0.99768434316940069</v>
      </c>
      <c r="R187" s="7">
        <f t="shared" si="19"/>
        <v>15.796052336837068</v>
      </c>
    </row>
    <row r="188" spans="1:18">
      <c r="A188">
        <f>tetto_ionofree_PR!A188</f>
        <v>50</v>
      </c>
      <c r="B188">
        <f>tetto_ionofree_PR!B188</f>
        <v>0.66666666666666674</v>
      </c>
      <c r="C188">
        <f>tetto_ionofree_PR!C188</f>
        <v>10</v>
      </c>
      <c r="D188">
        <f>tetto_ionofree_PR!D188</f>
        <v>22485958.591105193</v>
      </c>
      <c r="E188">
        <f>tetto!$D188</f>
        <v>22485957.995999999</v>
      </c>
      <c r="F188">
        <f>tetto!$G188</f>
        <v>22485957.611000001</v>
      </c>
      <c r="G188">
        <f>tetto_ionofree_PR!$E188</f>
        <v>31.270679613066548</v>
      </c>
      <c r="H188">
        <f>tetto_ionofree_PR!$L188</f>
        <v>-58.286820998758998</v>
      </c>
      <c r="I188">
        <f>DEGREES(ACOS(6378*COS(RADIANS(G188))/(6378+coord!B$18)))</f>
        <v>36.458887530341165</v>
      </c>
      <c r="J188" s="7">
        <f>-(10^-16)*(E188-$D188)*(coord!$B$10*10^6)^2*SIN(RADIANS($I188))/40.3</f>
        <v>2.1779481913577139</v>
      </c>
      <c r="K188">
        <f>-(10^-16)*(F188-$D188)*(coord!$B$11*10^6)^2*SIN(RADIANS($I188))/40.3</f>
        <v>2.1779481893203614</v>
      </c>
      <c r="L188">
        <f>DEGREES(coord!$B$18/(6378*TAN(RADIANS(I188))))</f>
        <v>4.8634125284346794</v>
      </c>
      <c r="M188">
        <f>lat(coord!$B$2,coord!$C$2,coord!$D$2)</f>
        <v>45.411171275371856</v>
      </c>
      <c r="N188">
        <f>lon(coord!$B$2,coord!$C$2,coord!$D$2)</f>
        <v>11.896106531717408</v>
      </c>
      <c r="O188" s="7">
        <f t="shared" si="16"/>
        <v>47.806871998588086</v>
      </c>
      <c r="P188">
        <f t="shared" si="17"/>
        <v>-0.10738337882238624</v>
      </c>
      <c r="Q188">
        <f t="shared" si="18"/>
        <v>0.99421768740688188</v>
      </c>
      <c r="R188" s="7">
        <f t="shared" si="19"/>
        <v>5.7316058588230749</v>
      </c>
    </row>
    <row r="189" spans="1:18">
      <c r="A189">
        <f>tetto_ionofree_PR!A189</f>
        <v>50</v>
      </c>
      <c r="B189">
        <f>tetto_ionofree_PR!B189</f>
        <v>0.66666666666666674</v>
      </c>
      <c r="C189">
        <f>tetto_ionofree_PR!C189</f>
        <v>4</v>
      </c>
      <c r="D189">
        <f>tetto_ionofree_PR!D189</f>
        <v>21332052.59603779</v>
      </c>
      <c r="E189">
        <f>tetto!$D189</f>
        <v>21332051.868000001</v>
      </c>
      <c r="F189">
        <f>tetto!$G189</f>
        <v>21332051.397</v>
      </c>
      <c r="G189">
        <f>tetto_ionofree_PR!$E189</f>
        <v>51.747880025101232</v>
      </c>
      <c r="H189">
        <f>tetto_ionofree_PR!$L189</f>
        <v>238.82810047679621</v>
      </c>
      <c r="I189">
        <f>DEGREES(ACOS(6378*COS(RADIANS(G189))/(6378+coord!B$18)))</f>
        <v>54.367379891073227</v>
      </c>
      <c r="J189" s="7">
        <f>-(10^-16)*(E189-$D189)*(coord!$B$10*10^6)^2*SIN(RADIANS($I189))/40.3</f>
        <v>3.6442555877490017</v>
      </c>
      <c r="K189">
        <f>-(10^-16)*(F189-$D189)*(coord!$B$11*10^6)^2*SIN(RADIANS($I189))/40.3</f>
        <v>3.6442555804398036</v>
      </c>
      <c r="L189">
        <f>DEGREES(coord!$B$18/(6378*TAN(RADIANS(I189))))</f>
        <v>2.5756731960611714</v>
      </c>
      <c r="M189">
        <f>lat(coord!$B$2,coord!$C$2,coord!$D$2)</f>
        <v>45.411171275371856</v>
      </c>
      <c r="N189">
        <f>lon(coord!$B$2,coord!$C$2,coord!$D$2)</f>
        <v>11.896106531717408</v>
      </c>
      <c r="O189" s="7">
        <f t="shared" si="16"/>
        <v>44.036313364419847</v>
      </c>
      <c r="P189">
        <f t="shared" si="17"/>
        <v>-5.3485215658970277E-2</v>
      </c>
      <c r="Q189">
        <f t="shared" si="18"/>
        <v>0.99856864145932089</v>
      </c>
      <c r="R189" s="7">
        <f t="shared" si="19"/>
        <v>8.830166448634774</v>
      </c>
    </row>
    <row r="190" spans="1:18">
      <c r="A190">
        <f>tetto_ionofree_PR!A190</f>
        <v>50</v>
      </c>
      <c r="B190">
        <f>tetto_ionofree_PR!B190</f>
        <v>0.66666666666666674</v>
      </c>
      <c r="C190">
        <f>tetto_ionofree_PR!C190</f>
        <v>20</v>
      </c>
      <c r="D190">
        <f>tetto_ionofree_PR!D190</f>
        <v>23509660.154679261</v>
      </c>
      <c r="E190">
        <f>tetto!$D190</f>
        <v>23509659.912</v>
      </c>
      <c r="F190">
        <f>tetto!$G190</f>
        <v>23509659.754999999</v>
      </c>
      <c r="G190">
        <f>tetto_ionofree_PR!$E190</f>
        <v>21.949838810228286</v>
      </c>
      <c r="H190">
        <f>tetto_ionofree_PR!$L190</f>
        <v>119.98739577236918</v>
      </c>
      <c r="I190">
        <f>DEGREES(ACOS(6378*COS(RADIANS(G190))/(6378+coord!B$18)))</f>
        <v>29.217283534318476</v>
      </c>
      <c r="J190" s="7">
        <f>-(10^-16)*(E190-$D190)*(coord!$B$10*10^6)^2*SIN(RADIANS($I190))/40.3</f>
        <v>0.72954075860946899</v>
      </c>
      <c r="K190">
        <f>-(10^-16)*(F190-$D190)*(coord!$B$11*10^6)^2*SIN(RADIANS($I190))/40.3</f>
        <v>0.72954076234559784</v>
      </c>
      <c r="L190">
        <f>DEGREES(coord!$B$18/(6378*TAN(RADIANS(I190))))</f>
        <v>6.4249700681538657</v>
      </c>
      <c r="M190">
        <f>lat(coord!$B$2,coord!$C$2,coord!$D$2)</f>
        <v>45.411171275371856</v>
      </c>
      <c r="N190">
        <f>lon(coord!$B$2,coord!$C$2,coord!$D$2)</f>
        <v>11.896106531717408</v>
      </c>
      <c r="O190" s="7">
        <f t="shared" si="16"/>
        <v>41.945743263312693</v>
      </c>
      <c r="P190">
        <f t="shared" si="17"/>
        <v>0.1303107608947818</v>
      </c>
      <c r="Q190">
        <f t="shared" si="18"/>
        <v>0.99147319963528169</v>
      </c>
      <c r="R190" s="7">
        <f t="shared" si="19"/>
        <v>19.383656894077795</v>
      </c>
    </row>
    <row r="191" spans="1:18">
      <c r="A191">
        <f>tetto_ionofree_PR!A191</f>
        <v>50</v>
      </c>
      <c r="B191">
        <f>tetto_ionofree_PR!B191</f>
        <v>0.66666666666666674</v>
      </c>
      <c r="C191">
        <f>tetto_ionofree_PR!C191</f>
        <v>13</v>
      </c>
      <c r="D191">
        <f>tetto_ionofree_PR!D191</f>
        <v>20261702.806091033</v>
      </c>
      <c r="E191">
        <f>tetto!$D191</f>
        <v>20261700.234000001</v>
      </c>
      <c r="F191">
        <f>tetto!$G191</f>
        <v>20261698.57</v>
      </c>
      <c r="G191">
        <f>tetto_ionofree_PR!$E191</f>
        <v>70.664545619528596</v>
      </c>
      <c r="H191">
        <f>tetto_ionofree_PR!$L191</f>
        <v>35.306816185366543</v>
      </c>
      <c r="I191">
        <f>DEGREES(ACOS(6378*COS(RADIANS(G191))/(6378+coord!B$18)))</f>
        <v>71.846806289985182</v>
      </c>
      <c r="J191" s="7">
        <f>-(10^-16)*(E191-$D191)*(coord!$B$10*10^6)^2*SIN(RADIANS($I191))/40.3</f>
        <v>15.052246210423537</v>
      </c>
      <c r="K191">
        <f>-(10^-16)*(F191-$D191)*(coord!$B$11*10^6)^2*SIN(RADIANS($I191))/40.3</f>
        <v>15.05224620034488</v>
      </c>
      <c r="L191">
        <f>DEGREES(coord!$B$18/(6378*TAN(RADIANS(I191))))</f>
        <v>1.1781775945186148</v>
      </c>
      <c r="M191">
        <f>lat(coord!$B$2,coord!$C$2,coord!$D$2)</f>
        <v>45.411171275371856</v>
      </c>
      <c r="N191">
        <f>lon(coord!$B$2,coord!$C$2,coord!$D$2)</f>
        <v>11.896106531717408</v>
      </c>
      <c r="O191" s="7">
        <f t="shared" si="16"/>
        <v>46.36844621298826</v>
      </c>
      <c r="P191">
        <f t="shared" si="17"/>
        <v>1.7222284130675374E-2</v>
      </c>
      <c r="Q191">
        <f t="shared" si="18"/>
        <v>0.99985168546606074</v>
      </c>
      <c r="R191" s="7">
        <f t="shared" si="19"/>
        <v>12.882919512698424</v>
      </c>
    </row>
    <row r="192" spans="1:18">
      <c r="A192">
        <f>tetto_ionofree_PR!A192</f>
        <v>50</v>
      </c>
      <c r="B192">
        <f>tetto_ionofree_PR!B192</f>
        <v>0.66666666666666674</v>
      </c>
      <c r="C192">
        <f>tetto_ionofree_PR!C192</f>
        <v>7</v>
      </c>
      <c r="D192">
        <f>tetto_ionofree_PR!D192</f>
        <v>21428885.182408329</v>
      </c>
      <c r="E192">
        <f>tetto!$D192</f>
        <v>21428883.901000001</v>
      </c>
      <c r="F192">
        <f>tetto!$G192</f>
        <v>21428883.072000001</v>
      </c>
      <c r="G192">
        <f>tetto_ionofree_PR!$E192</f>
        <v>50.40326445258605</v>
      </c>
      <c r="H192">
        <f>tetto_ionofree_PR!$L192</f>
        <v>174.70065182839448</v>
      </c>
      <c r="I192">
        <f>DEGREES(ACOS(6378*COS(RADIANS(G192))/(6378+coord!B$18)))</f>
        <v>53.146899087734603</v>
      </c>
      <c r="J192" s="7">
        <f>-(10^-16)*(E192-$D192)*(coord!$B$10*10^6)^2*SIN(RADIANS($I192))/40.3</f>
        <v>6.3148152768751089</v>
      </c>
      <c r="K192">
        <f>-(10^-16)*(F192-$D192)*(coord!$B$11*10^6)^2*SIN(RADIANS($I192))/40.3</f>
        <v>6.3148152789156127</v>
      </c>
      <c r="L192">
        <f>DEGREES(coord!$B$18/(6378*TAN(RADIANS(I192))))</f>
        <v>2.6933581377865869</v>
      </c>
      <c r="M192">
        <f>lat(coord!$B$2,coord!$C$2,coord!$D$2)</f>
        <v>45.411171275371856</v>
      </c>
      <c r="N192">
        <f>lon(coord!$B$2,coord!$C$2,coord!$D$2)</f>
        <v>11.896106531717408</v>
      </c>
      <c r="O192" s="7">
        <f t="shared" si="16"/>
        <v>42.728809937490446</v>
      </c>
      <c r="P192">
        <f t="shared" si="17"/>
        <v>5.908220529461666E-3</v>
      </c>
      <c r="Q192">
        <f t="shared" si="18"/>
        <v>0.99998254631277206</v>
      </c>
      <c r="R192" s="7">
        <f t="shared" si="19"/>
        <v>12.234624601953241</v>
      </c>
    </row>
    <row r="194" spans="1:18">
      <c r="A194">
        <f>tetto_ionofree_PR!A194</f>
        <v>52</v>
      </c>
      <c r="B194">
        <f>tetto_ionofree_PR!B194</f>
        <v>0.68333333333333335</v>
      </c>
      <c r="C194">
        <f>tetto_ionofree_PR!C194</f>
        <v>2</v>
      </c>
      <c r="D194">
        <f>tetto_ionofree_PR!D194</f>
        <v>22276537.549527697</v>
      </c>
      <c r="E194">
        <f>tetto!$D194</f>
        <v>22276534.050000001</v>
      </c>
      <c r="F194">
        <f>tetto!$G194</f>
        <v>22276531.785999998</v>
      </c>
      <c r="G194">
        <f>tetto_ionofree_PR!$E194</f>
        <v>34.101340805370178</v>
      </c>
      <c r="H194">
        <f>tetto_ionofree_PR!$L194</f>
        <v>-59.024607524991353</v>
      </c>
      <c r="I194">
        <f>DEGREES(ACOS(6378*COS(RADIANS(G194))/(6378+coord!B$18)))</f>
        <v>38.814400091710567</v>
      </c>
      <c r="J194" s="7">
        <f>-(10^-16)*(E194-$D194)*(coord!$B$10*10^6)^2*SIN(RADIANS($I194))/40.3</f>
        <v>13.509082423140969</v>
      </c>
      <c r="K194">
        <f>-(10^-16)*(F194-$D194)*(coord!$B$11*10^6)^2*SIN(RADIANS($I194))/40.3</f>
        <v>13.509082425137125</v>
      </c>
      <c r="L194">
        <f>DEGREES(coord!$B$18/(6378*TAN(RADIANS(I194))))</f>
        <v>4.4669120988893471</v>
      </c>
      <c r="M194">
        <f>lat(coord!$B$2,coord!$C$2,coord!$D$2)</f>
        <v>45.411171275371856</v>
      </c>
      <c r="N194">
        <f>lon(coord!$B$2,coord!$C$2,coord!$D$2)</f>
        <v>11.896106531717408</v>
      </c>
      <c r="O194" s="7">
        <f t="shared" si="16"/>
        <v>47.573162947565883</v>
      </c>
      <c r="P194">
        <f t="shared" si="17"/>
        <v>-9.8979437716305532E-2</v>
      </c>
      <c r="Q194">
        <f t="shared" si="18"/>
        <v>0.99508947884567833</v>
      </c>
      <c r="R194" s="7">
        <f t="shared" si="19"/>
        <v>6.2157015282784762</v>
      </c>
    </row>
    <row r="195" spans="1:18">
      <c r="A195">
        <f>tetto_ionofree_PR!A195</f>
        <v>52</v>
      </c>
      <c r="B195">
        <f>tetto_ionofree_PR!B195</f>
        <v>0.68333333333333335</v>
      </c>
      <c r="C195">
        <f>tetto_ionofree_PR!C195</f>
        <v>23</v>
      </c>
      <c r="D195">
        <f>tetto_ionofree_PR!D195</f>
        <v>21432312.632513523</v>
      </c>
      <c r="E195">
        <f>tetto!$D195</f>
        <v>21432307.155999999</v>
      </c>
      <c r="F195">
        <f>tetto!$G195</f>
        <v>21432303.613000002</v>
      </c>
      <c r="G195">
        <f>tetto_ionofree_PR!$E195</f>
        <v>45.815480404974018</v>
      </c>
      <c r="H195">
        <f>tetto_ionofree_PR!$L195</f>
        <v>60.086947742506531</v>
      </c>
      <c r="I195">
        <f>DEGREES(ACOS(6378*COS(RADIANS(G195))/(6378+coord!B$18)))</f>
        <v>49.016626751456918</v>
      </c>
      <c r="J195" s="7">
        <f>-(10^-16)*(E195-$D195)*(coord!$B$10*10^6)^2*SIN(RADIANS($I195))/40.3</f>
        <v>25.461337472705218</v>
      </c>
      <c r="K195">
        <f>-(10^-16)*(F195-$D195)*(coord!$B$11*10^6)^2*SIN(RADIANS($I195))/40.3</f>
        <v>25.461337469068365</v>
      </c>
      <c r="L195">
        <f>DEGREES(coord!$B$18/(6378*TAN(RADIANS(I195))))</f>
        <v>3.1218110825682843</v>
      </c>
      <c r="M195">
        <f>lat(coord!$B$2,coord!$C$2,coord!$D$2)</f>
        <v>45.411171275371856</v>
      </c>
      <c r="N195">
        <f>lon(coord!$B$2,coord!$C$2,coord!$D$2)</f>
        <v>11.896106531717408</v>
      </c>
      <c r="O195" s="7">
        <f t="shared" si="16"/>
        <v>46.90075651707582</v>
      </c>
      <c r="P195">
        <f t="shared" si="17"/>
        <v>6.9086139920546755E-2</v>
      </c>
      <c r="Q195">
        <f t="shared" si="18"/>
        <v>0.99761069825402271</v>
      </c>
      <c r="R195" s="7">
        <f t="shared" si="19"/>
        <v>15.857606347671496</v>
      </c>
    </row>
    <row r="196" spans="1:18">
      <c r="A196">
        <f>tetto_ionofree_PR!A196</f>
        <v>52</v>
      </c>
      <c r="B196">
        <f>tetto_ionofree_PR!B196</f>
        <v>0.68333333333333335</v>
      </c>
      <c r="C196">
        <f>tetto_ionofree_PR!C196</f>
        <v>10</v>
      </c>
      <c r="D196">
        <f>tetto_ionofree_PR!D196</f>
        <v>22453049.316904247</v>
      </c>
      <c r="E196">
        <f>tetto!$D196</f>
        <v>22453048.829999998</v>
      </c>
      <c r="F196">
        <f>tetto!$G196</f>
        <v>22453048.515000001</v>
      </c>
      <c r="G196">
        <f>tetto_ionofree_PR!$E196</f>
        <v>31.682374495596562</v>
      </c>
      <c r="H196">
        <f>tetto_ionofree_PR!$L196</f>
        <v>-58.146874927274268</v>
      </c>
      <c r="I196">
        <f>DEGREES(ACOS(6378*COS(RADIANS(G196))/(6378+coord!B$18)))</f>
        <v>36.797929029730021</v>
      </c>
      <c r="J196" s="7">
        <f>-(10^-16)*(E196-$D196)*(coord!$B$10*10^6)^2*SIN(RADIANS($I196))/40.3</f>
        <v>1.7961978593798957</v>
      </c>
      <c r="K196">
        <f>-(10^-16)*(F196-$D196)*(coord!$B$11*10^6)^2*SIN(RADIANS($I196))/40.3</f>
        <v>1.7961978571640109</v>
      </c>
      <c r="L196">
        <f>DEGREES(coord!$B$18/(6378*TAN(RADIANS(I196))))</f>
        <v>4.8036764493548541</v>
      </c>
      <c r="M196">
        <f>lat(coord!$B$2,coord!$C$2,coord!$D$2)</f>
        <v>45.411171275371856</v>
      </c>
      <c r="N196">
        <f>lon(coord!$B$2,coord!$C$2,coord!$D$2)</f>
        <v>11.896106531717408</v>
      </c>
      <c r="O196" s="7">
        <f t="shared" si="16"/>
        <v>47.789919517947261</v>
      </c>
      <c r="P196">
        <f t="shared" si="17"/>
        <v>-0.10587257147465329</v>
      </c>
      <c r="Q196">
        <f t="shared" si="18"/>
        <v>0.99437970544925369</v>
      </c>
      <c r="R196" s="7">
        <f t="shared" si="19"/>
        <v>5.818665077887526</v>
      </c>
    </row>
    <row r="197" spans="1:18">
      <c r="A197">
        <f>tetto_ionofree_PR!A197</f>
        <v>52</v>
      </c>
      <c r="B197">
        <f>tetto_ionofree_PR!B197</f>
        <v>0.68333333333333335</v>
      </c>
      <c r="C197">
        <f>tetto_ionofree_PR!C197</f>
        <v>4</v>
      </c>
      <c r="D197">
        <f>tetto_ionofree_PR!D197</f>
        <v>21348750.470571488</v>
      </c>
      <c r="E197">
        <f>tetto!$D197</f>
        <v>21348749.809</v>
      </c>
      <c r="F197">
        <f>tetto!$G197</f>
        <v>21348749.381000001</v>
      </c>
      <c r="G197">
        <f>tetto_ionofree_PR!$E197</f>
        <v>51.484595975729214</v>
      </c>
      <c r="H197">
        <f>tetto_ionofree_PR!$L197</f>
        <v>238.17461385165433</v>
      </c>
      <c r="I197">
        <f>DEGREES(ACOS(6378*COS(RADIANS(G197))/(6378+coord!B$18)))</f>
        <v>54.128083890405492</v>
      </c>
      <c r="J197" s="7">
        <f>-(10^-16)*(E197-$D197)*(coord!$B$10*10^6)^2*SIN(RADIANS($I197))/40.3</f>
        <v>3.3016102304666357</v>
      </c>
      <c r="K197">
        <f>-(10^-16)*(F197-$D197)*(coord!$B$11*10^6)^2*SIN(RADIANS($I197))/40.3</f>
        <v>3.3016102327368468</v>
      </c>
      <c r="L197">
        <f>DEGREES(coord!$B$18/(6378*TAN(RADIANS(I197))))</f>
        <v>2.5984598760035444</v>
      </c>
      <c r="M197">
        <f>lat(coord!$B$2,coord!$C$2,coord!$D$2)</f>
        <v>45.411171275371856</v>
      </c>
      <c r="N197">
        <f>lon(coord!$B$2,coord!$C$2,coord!$D$2)</f>
        <v>11.896106531717408</v>
      </c>
      <c r="O197" s="7">
        <f t="shared" si="16"/>
        <v>43.999132635916673</v>
      </c>
      <c r="P197">
        <f t="shared" si="17"/>
        <v>-5.3548682236582906E-2</v>
      </c>
      <c r="Q197">
        <f t="shared" si="18"/>
        <v>0.99856524004730174</v>
      </c>
      <c r="R197" s="7">
        <f t="shared" si="19"/>
        <v>8.8265248629906754</v>
      </c>
    </row>
    <row r="198" spans="1:18">
      <c r="A198">
        <f>tetto_ionofree_PR!A198</f>
        <v>52</v>
      </c>
      <c r="B198">
        <f>tetto_ionofree_PR!B198</f>
        <v>0.68333333333333335</v>
      </c>
      <c r="C198">
        <f>tetto_ionofree_PR!C198</f>
        <v>20</v>
      </c>
      <c r="D198">
        <f>tetto_ionofree_PR!D198</f>
        <v>23546555.300279088</v>
      </c>
      <c r="E198">
        <f>tetto!$D198</f>
        <v>23546554.75</v>
      </c>
      <c r="F198">
        <f>tetto!$G198</f>
        <v>23546554.394000001</v>
      </c>
      <c r="G198">
        <f>tetto_ionofree_PR!$E198</f>
        <v>21.567360306546774</v>
      </c>
      <c r="H198">
        <f>tetto_ionofree_PR!$L198</f>
        <v>120.24003659462164</v>
      </c>
      <c r="I198">
        <f>DEGREES(ACOS(6378*COS(RADIANS(G198))/(6378+coord!B$18)))</f>
        <v>28.942782086185172</v>
      </c>
      <c r="J198" s="7">
        <f>-(10^-16)*(E198-$D198)*(coord!$B$10*10^6)^2*SIN(RADIANS($I198))/40.3</f>
        <v>1.6400555396363103</v>
      </c>
      <c r="K198">
        <f>-(10^-16)*(F198-$D198)*(coord!$B$11*10^6)^2*SIN(RADIANS($I198))/40.3</f>
        <v>1.6400555390333205</v>
      </c>
      <c r="L198">
        <f>DEGREES(coord!$B$18/(6378*TAN(RADIANS(I198))))</f>
        <v>6.4978488889858514</v>
      </c>
      <c r="M198">
        <f>lat(coord!$B$2,coord!$C$2,coord!$D$2)</f>
        <v>45.411171275371856</v>
      </c>
      <c r="N198">
        <f>lon(coord!$B$2,coord!$C$2,coord!$D$2)</f>
        <v>11.896106531717408</v>
      </c>
      <c r="O198" s="7">
        <f t="shared" si="16"/>
        <v>41.880419364923597</v>
      </c>
      <c r="P198">
        <f t="shared" si="17"/>
        <v>0.13131152033328172</v>
      </c>
      <c r="Q198">
        <f t="shared" si="18"/>
        <v>0.99134115451128257</v>
      </c>
      <c r="R198" s="7">
        <f t="shared" si="19"/>
        <v>19.441493158118515</v>
      </c>
    </row>
    <row r="199" spans="1:18">
      <c r="A199">
        <f>tetto_ionofree_PR!A199</f>
        <v>52</v>
      </c>
      <c r="B199">
        <f>tetto_ionofree_PR!B199</f>
        <v>0.68333333333333335</v>
      </c>
      <c r="C199">
        <f>tetto_ionofree_PR!C199</f>
        <v>13</v>
      </c>
      <c r="D199">
        <f>tetto_ionofree_PR!D199</f>
        <v>20273349.788740236</v>
      </c>
      <c r="E199">
        <f>tetto!$D199</f>
        <v>20273347.144000001</v>
      </c>
      <c r="F199">
        <f>tetto!$G199</f>
        <v>20273345.432999998</v>
      </c>
      <c r="G199">
        <f>tetto_ionofree_PR!$E199</f>
        <v>70.250049679623629</v>
      </c>
      <c r="H199">
        <f>tetto_ionofree_PR!$L199</f>
        <v>36.022824890977269</v>
      </c>
      <c r="I199">
        <f>DEGREES(ACOS(6378*COS(RADIANS(G199))/(6378+coord!B$18)))</f>
        <v>71.459556179088082</v>
      </c>
      <c r="J199" s="7">
        <f>-(10^-16)*(E199-$D199)*(coord!$B$10*10^6)^2*SIN(RADIANS($I199))/40.3</f>
        <v>15.442747682428811</v>
      </c>
      <c r="K199">
        <f>-(10^-16)*(F199-$D199)*(coord!$B$11*10^6)^2*SIN(RADIANS($I199))/40.3</f>
        <v>15.442747685440866</v>
      </c>
      <c r="L199">
        <f>DEGREES(coord!$B$18/(6378*TAN(RADIANS(I199))))</f>
        <v>1.2051352745944695</v>
      </c>
      <c r="M199">
        <f>lat(coord!$B$2,coord!$C$2,coord!$D$2)</f>
        <v>45.411171275371856</v>
      </c>
      <c r="N199">
        <f>lon(coord!$B$2,coord!$C$2,coord!$D$2)</f>
        <v>11.896106531717408</v>
      </c>
      <c r="O199" s="7">
        <f t="shared" si="16"/>
        <v>46.381313354161598</v>
      </c>
      <c r="P199">
        <f t="shared" si="17"/>
        <v>1.7929971714934406E-2</v>
      </c>
      <c r="Q199">
        <f t="shared" si="18"/>
        <v>0.9998392451360878</v>
      </c>
      <c r="R199" s="7">
        <f t="shared" si="19"/>
        <v>12.923473289763226</v>
      </c>
    </row>
    <row r="200" spans="1:18">
      <c r="A200">
        <f>tetto_ionofree_PR!A200</f>
        <v>52</v>
      </c>
      <c r="B200">
        <f>tetto_ionofree_PR!B200</f>
        <v>0.68333333333333335</v>
      </c>
      <c r="C200">
        <f>tetto_ionofree_PR!C200</f>
        <v>7</v>
      </c>
      <c r="D200">
        <f>tetto_ionofree_PR!D200</f>
        <v>21400330.857167017</v>
      </c>
      <c r="E200">
        <f>tetto!$D200</f>
        <v>21400329.397999998</v>
      </c>
      <c r="F200">
        <f>tetto!$G200</f>
        <v>21400328.454</v>
      </c>
      <c r="G200">
        <f>tetto_ionofree_PR!$E200</f>
        <v>50.895859071570214</v>
      </c>
      <c r="H200">
        <f>tetto_ionofree_PR!$L200</f>
        <v>174.55270986940405</v>
      </c>
      <c r="I200">
        <f>DEGREES(ACOS(6378*COS(RADIANS(G200))/(6378+coord!B$18)))</f>
        <v>53.593542954310109</v>
      </c>
      <c r="J200" s="7">
        <f>-(10^-16)*(E200-$D200)*(coord!$B$10*10^6)^2*SIN(RADIANS($I200))/40.3</f>
        <v>7.232611870358717</v>
      </c>
      <c r="K200">
        <f>-(10^-16)*(F200-$D200)*(coord!$B$11*10^6)^2*SIN(RADIANS($I200))/40.3</f>
        <v>7.2326118767244685</v>
      </c>
      <c r="L200">
        <f>DEGREES(coord!$B$18/(6378*TAN(RADIANS(I200))))</f>
        <v>2.649862619053041</v>
      </c>
      <c r="M200">
        <f>lat(coord!$B$2,coord!$C$2,coord!$D$2)</f>
        <v>45.411171275371856</v>
      </c>
      <c r="N200">
        <f>lon(coord!$B$2,coord!$C$2,coord!$D$2)</f>
        <v>11.896106531717408</v>
      </c>
      <c r="O200" s="7">
        <f t="shared" si="16"/>
        <v>42.772748116701642</v>
      </c>
      <c r="P200">
        <f t="shared" si="17"/>
        <v>5.9789087520319487E-3</v>
      </c>
      <c r="Q200">
        <f t="shared" si="18"/>
        <v>0.99998212616533044</v>
      </c>
      <c r="R200" s="7">
        <f t="shared" si="19"/>
        <v>12.238674810308025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sheetPr codeName="Foglio14"/>
  <dimension ref="A1:DG201"/>
  <sheetViews>
    <sheetView topLeftCell="A174" zoomScale="80" zoomScaleNormal="80" workbookViewId="0">
      <selection activeCell="E204" sqref="E204"/>
    </sheetView>
  </sheetViews>
  <sheetFormatPr defaultRowHeight="15"/>
  <cols>
    <col min="4" max="4" width="13" bestFit="1" customWidth="1"/>
    <col min="5" max="5" width="13.7109375" bestFit="1" customWidth="1"/>
    <col min="6" max="6" width="10.5703125" bestFit="1" customWidth="1"/>
    <col min="7" max="8" width="13" bestFit="1" customWidth="1"/>
    <col min="9" max="11" width="13" customWidth="1"/>
    <col min="12" max="12" width="5.5703125" customWidth="1"/>
    <col min="13" max="13" width="10.28515625" bestFit="1" customWidth="1"/>
    <col min="14" max="14" width="11" bestFit="1" customWidth="1"/>
    <col min="15" max="15" width="10.28515625" bestFit="1" customWidth="1"/>
    <col min="16" max="16" width="13.7109375" style="5" bestFit="1" customWidth="1"/>
    <col min="18" max="18" width="10.5703125" bestFit="1" customWidth="1"/>
    <col min="19" max="22" width="11.5703125" bestFit="1" customWidth="1"/>
    <col min="23" max="23" width="10.7109375" bestFit="1" customWidth="1"/>
    <col min="24" max="24" width="14.5703125" bestFit="1" customWidth="1"/>
    <col min="25" max="25" width="9.28515625" bestFit="1" customWidth="1"/>
    <col min="26" max="26" width="9.28515625" customWidth="1"/>
    <col min="33" max="33" width="9.7109375" bestFit="1" customWidth="1"/>
    <col min="56" max="56" width="12" customWidth="1"/>
    <col min="57" max="57" width="10.5703125" bestFit="1" customWidth="1"/>
    <col min="58" max="58" width="11.28515625" customWidth="1"/>
    <col min="59" max="59" width="11.42578125" bestFit="1" customWidth="1"/>
    <col min="60" max="60" width="10.28515625" bestFit="1" customWidth="1"/>
    <col min="61" max="61" width="11.42578125" bestFit="1" customWidth="1"/>
    <col min="62" max="64" width="13" bestFit="1" customWidth="1"/>
    <col min="65" max="65" width="13.7109375" bestFit="1" customWidth="1"/>
  </cols>
  <sheetData>
    <row r="1" spans="1:111">
      <c r="B1" t="s">
        <v>108</v>
      </c>
      <c r="D1" t="s">
        <v>148</v>
      </c>
      <c r="E1" t="s">
        <v>160</v>
      </c>
      <c r="F1" t="s">
        <v>153</v>
      </c>
      <c r="G1" t="s">
        <v>154</v>
      </c>
      <c r="H1" t="s">
        <v>155</v>
      </c>
      <c r="I1" t="s">
        <v>156</v>
      </c>
      <c r="J1" t="s">
        <v>157</v>
      </c>
      <c r="K1" t="s">
        <v>158</v>
      </c>
      <c r="L1" t="s">
        <v>159</v>
      </c>
      <c r="M1" t="s">
        <v>56</v>
      </c>
      <c r="N1" t="s">
        <v>57</v>
      </c>
      <c r="O1" t="s">
        <v>58</v>
      </c>
      <c r="P1" s="5" t="s">
        <v>109</v>
      </c>
      <c r="R1" t="s">
        <v>48</v>
      </c>
      <c r="T1" t="s">
        <v>141</v>
      </c>
      <c r="U1" t="s">
        <v>140</v>
      </c>
      <c r="V1" t="s">
        <v>139</v>
      </c>
      <c r="W1" t="s">
        <v>138</v>
      </c>
      <c r="X1" t="s">
        <v>123</v>
      </c>
      <c r="Y1" t="s">
        <v>124</v>
      </c>
      <c r="AB1" t="s">
        <v>59</v>
      </c>
      <c r="AC1" t="s">
        <v>60</v>
      </c>
      <c r="AD1" t="s">
        <v>61</v>
      </c>
      <c r="AE1" t="s">
        <v>62</v>
      </c>
      <c r="AI1" t="s">
        <v>63</v>
      </c>
      <c r="AP1" t="s">
        <v>64</v>
      </c>
      <c r="AU1" t="s">
        <v>65</v>
      </c>
      <c r="AY1" t="s">
        <v>66</v>
      </c>
      <c r="BA1" t="s">
        <v>67</v>
      </c>
      <c r="BD1" t="s">
        <v>68</v>
      </c>
      <c r="BE1" t="s">
        <v>125</v>
      </c>
      <c r="BG1" t="s">
        <v>56</v>
      </c>
      <c r="BH1" t="s">
        <v>57</v>
      </c>
      <c r="BI1" t="s">
        <v>58</v>
      </c>
      <c r="BJ1" t="s">
        <v>126</v>
      </c>
      <c r="BK1" t="s">
        <v>78</v>
      </c>
      <c r="BL1" t="s">
        <v>79</v>
      </c>
      <c r="BM1" t="s">
        <v>80</v>
      </c>
      <c r="BO1" t="s">
        <v>81</v>
      </c>
      <c r="BP1" t="s">
        <v>82</v>
      </c>
      <c r="BQ1" t="s">
        <v>83</v>
      </c>
      <c r="BR1" t="s">
        <v>84</v>
      </c>
      <c r="BS1" t="s">
        <v>85</v>
      </c>
      <c r="BT1" t="s">
        <v>86</v>
      </c>
      <c r="BV1" t="s">
        <v>93</v>
      </c>
      <c r="BW1" t="s">
        <v>94</v>
      </c>
      <c r="BX1" t="s">
        <v>95</v>
      </c>
      <c r="CA1" t="s">
        <v>90</v>
      </c>
      <c r="CB1" t="s">
        <v>91</v>
      </c>
      <c r="CC1" t="s">
        <v>92</v>
      </c>
      <c r="CE1" t="s">
        <v>96</v>
      </c>
      <c r="CG1" t="s">
        <v>87</v>
      </c>
      <c r="CH1" t="s">
        <v>88</v>
      </c>
      <c r="CI1" t="s">
        <v>89</v>
      </c>
      <c r="CL1" t="s">
        <v>97</v>
      </c>
      <c r="CQ1" t="s">
        <v>99</v>
      </c>
      <c r="CV1" t="s">
        <v>98</v>
      </c>
      <c r="CZ1" t="s">
        <v>100</v>
      </c>
      <c r="DA1" t="s">
        <v>101</v>
      </c>
      <c r="DB1" t="s">
        <v>102</v>
      </c>
      <c r="DC1" t="s">
        <v>104</v>
      </c>
      <c r="DD1" t="s">
        <v>103</v>
      </c>
      <c r="DE1" t="s">
        <v>105</v>
      </c>
      <c r="DF1" t="s">
        <v>107</v>
      </c>
      <c r="DG1" t="s">
        <v>106</v>
      </c>
    </row>
    <row r="2" spans="1:111">
      <c r="A2">
        <v>0</v>
      </c>
      <c r="B2">
        <f>(60-45)/60+30*A2/3600</f>
        <v>0.25</v>
      </c>
      <c r="C2">
        <v>2</v>
      </c>
      <c r="D2">
        <f>tetto!D2*coord!$B$13-tetto!G2*coord!$B$14</f>
        <v>22932690.361807212</v>
      </c>
      <c r="E2" s="5">
        <f>90-DEGREES(ACOS((coord!$B$2*($T2*1000-coord!$B$2)+coord!$C$2*($U2*1000-coord!$C$2)+coord!$D$2*($V2*1000-coord!$D$2))/(SQRT(coord!$B$2^2+coord!$C$2^2+coord!$D$2^2)*SQRT(($T2*1000-coord!$B$2)^2+($U2*1000-coord!$C$2)^2+($V2*1000-coord!$D$2)^2))))</f>
        <v>26.937625953512686</v>
      </c>
      <c r="F2">
        <f>(coord!$C$2*($V2*1000-coord!$D$2)-coord!$D$2*($U2*1000-coord!$C$2))/(SQRT(coord!$B$2^2+coord!$C$2^2+coord!$D$2^2)*SQRT(($T2*1000-coord!$B$2)^2+($U2*1000-coord!$C$2)^2+($V2*1000-coord!$D$2)^2))</f>
        <v>0.59094906379435563</v>
      </c>
      <c r="G2">
        <f>(-coord!$B$2*($V2*1000-coord!$D$2)+coord!$D$2*($T2*1000-coord!$B$2))/(SQRT(coord!$B$2^2+coord!$C$2^2+coord!$D$2^2)*SQRT(($T2*1000-coord!$B$2)^2+($U2*1000-coord!$C$2)^2+($V2*1000-coord!$D$2)^2))</f>
        <v>-0.46519213993633551</v>
      </c>
      <c r="H2">
        <f>(coord!$B$2*($U2*1000-coord!$C$2)-coord!$C$2*($T2*1000-coord!$B$2))/(SQRT(coord!$B$2^2+coord!$C$2^2+coord!$D$2^2)*SQRT(($T2*1000-coord!$B$2)^2+($U2*1000-coord!$C$2)^2+($V2*1000-coord!$D$2)^2))</f>
        <v>-0.47869419045187878</v>
      </c>
      <c r="I2">
        <f>$F2*$CA$2+$G2*$CB$2+$H2*$CC$2</f>
        <v>-0.67957372143147443</v>
      </c>
      <c r="J2">
        <f>$F2*$CA$3+$G2*$CB$3+$H2*$CC$3</f>
        <v>-0.57701560446935818</v>
      </c>
      <c r="K2">
        <f>$F2*$CA$4+$G2*$CB$4+$H2*$CC$4</f>
        <v>-2.2804317552341802E-3</v>
      </c>
      <c r="L2">
        <f>90+DEGREES(ATAN2(I2,J2))</f>
        <v>-49.665925145571975</v>
      </c>
      <c r="M2" s="5">
        <f>'sv02'!$AA$3+'sv02'!$Z$3*($B2)+'sv02'!$Y$3*($B2)^2+'sv02'!$X$3*($B2)^3+'sv02'!$W$3*($B2)^4+'sv02'!$V$3*($B2)^5+'sv02'!$U$3*($B2)^6+'sv02'!$T$3*($B2)^7+'sv02'!$S$3*($B2)^8</f>
        <v>5575.7636030607446</v>
      </c>
      <c r="N2" s="5">
        <f>'sv02'!$AA$4+'sv02'!$Z$4*($B2)+'sv02'!$Y$4*($B2)^2+'sv02'!$X$4*($B2)^3+'sv02'!$W$4*($B2)^4+'sv02'!$V$4*($B2)^5+'sv02'!$U$4*($B2)^6+'sv02'!$T$4*($B2)^7+'sv02'!$S$4*($B2)^8</f>
        <v>-14805.568693734773</v>
      </c>
      <c r="O2" s="5">
        <f>'sv02'!$AA$5+'sv02'!$Z$5*($B2)+'sv02'!$Y$5*($B2)^2+'sv02'!$X$5*($B2)^3+'sv02'!$W$5*($B2)^4+'sv02'!$V$5*($B2)^5+'sv02'!$U$5*($B2)^6+'sv02'!$T$5*($B2)^7+'sv02'!$S$5*($B2)^8</f>
        <v>21270.940010780625</v>
      </c>
      <c r="P2" s="5">
        <f>'sv02'!$AA$6+'sv02'!$Z$6*$B2+'sv02'!$Y$6*$B2^2+'sv02'!$X$6*$B2^3+'sv02'!$W$6*$B2^4+'sv02'!$V$6*$B2^5+'sv02'!$U$6*$B2^6+'sv02'!$T$6*$B2^7+'sv02'!$S$6*$B2^8</f>
        <v>257.58976891582398</v>
      </c>
      <c r="R2">
        <f>SQRT(($M2*1000-coord!$B$2)^2+($N2*1000-coord!$C$2)^2+($O2*1000-coord!$D$2)^2)/coord!$B$6</f>
        <v>7.6752638189669653E-2</v>
      </c>
      <c r="S2">
        <v>2</v>
      </c>
      <c r="T2" s="5">
        <f>'sv02'!$AA$3+'sv02'!$Z$3*($B2-$R2/3600)+'sv02'!$Y$3*($B2-$R2/3600)^2+'sv02'!$X$3*($B2-$R2/3600)^3+'sv02'!$W$3*($B2-$R2/3600)^4+'sv02'!$V$3*($B2-$R2/3600)^5+'sv02'!$U$3*($B2-$R2/3600)^6+'sv02'!$T$3*($B2-$R2/3600)^7+'sv02'!$S$3*($B2-$R2/3600)^8+N2*coord!$B$7*R2</f>
        <v>5575.475823888768</v>
      </c>
      <c r="U2" s="5">
        <f>'sv02'!$AA$4+'sv02'!$Z$4*($B2-$R2/3600)+'sv02'!$Y$4*($B2-$R2/3600)^2+'sv02'!$X$4*($B2-$R2/3600)^3+'sv02'!$W$4*($B2-$R2/3600)^4+'sv02'!$V$4*($B2-$R2/3600)^5+'sv02'!$U$4*($B2-$R2/3600)^6+'sv02'!$T$4*($B2-$R2/3600)^7+'sv02'!$S$4*($B2-$R2/3600)^8-M2*coord!$B$7*R2</f>
        <v>-14805.639812696492</v>
      </c>
      <c r="V2" s="5">
        <f>'sv02'!$AA$5+'sv02'!$Z$5*($B2-$R2/3600)+'sv02'!$Y$5*($B2-$R2/3600)^2+'sv02'!$X$5*($B2-$R2/3600)^3+'sv02'!$W$5*($B2-$R2/3600)^4+'sv02'!$V$5*($B2-$R2/3600)^5+'sv02'!$U$5*($B2-$R2/3600)^6+'sv02'!$T$5*($B2-$R2/3600)^7+'sv02'!$S$5*($B2-$R2/3600)^8</f>
        <v>21270.969418530265</v>
      </c>
      <c r="W2">
        <f>coord!$B$6*P2/10^6</f>
        <v>77223.469978926863</v>
      </c>
      <c r="X2">
        <f>SQRT(($T2*1000+coord!$B$7*$R2*$U2*1000-coord!$B$2)^2+($U2*1000-coord!$B$7*$R2*$T2*1000-coord!$C$2)^2+($V2*1000-coord!$D$2)^2)</f>
        <v>23009934.306139909</v>
      </c>
      <c r="Y2" s="3">
        <f>$D2-(X2-$W2)-coord!$E$2</f>
        <v>-20.474353767931461</v>
      </c>
      <c r="Z2" s="3"/>
      <c r="AB2">
        <f>-(T2*1000-coord!$B$2)/$X2</f>
        <v>-5.1568928329019152E-2</v>
      </c>
      <c r="AC2">
        <f>-(U2*1000-coord!$C$2)/$X2</f>
        <v>0.68362689856524639</v>
      </c>
      <c r="AD2">
        <f>-(V2*1000-coord!$D$2)/$X2</f>
        <v>-0.72800647413236519</v>
      </c>
      <c r="AE2">
        <v>1</v>
      </c>
      <c r="AG2">
        <f t="array" ref="AG2:AM5">TRANSPOSE(AB2:AE8)</f>
        <v>-5.1568928329019152E-2</v>
      </c>
      <c r="AH2">
        <v>-0.26001096839178872</v>
      </c>
      <c r="AI2">
        <v>-0.12117017430594521</v>
      </c>
      <c r="AJ2">
        <v>-0.76513983562029897</v>
      </c>
      <c r="AK2">
        <v>-0.43184244852402848</v>
      </c>
      <c r="AL2">
        <v>-0.5613841214279105</v>
      </c>
      <c r="AM2">
        <v>-0.96351568306705471</v>
      </c>
      <c r="AO2">
        <f t="array" ref="AO2:AR5">MMULT(AG2:AM5,AB2:AE8)</f>
        <v>2.1003887409022188</v>
      </c>
      <c r="AP2">
        <v>0.38561043418195851</v>
      </c>
      <c r="AQ2">
        <v>1.1151223016963425</v>
      </c>
      <c r="AR2">
        <v>-3.1546321596660456</v>
      </c>
      <c r="AT2">
        <f t="array" ref="AT2:AW5">MINVERSE(AO2:AR5)</f>
        <v>2.439370466922933</v>
      </c>
      <c r="AU2">
        <v>-0.19292915261911744</v>
      </c>
      <c r="AV2">
        <v>1.2853372769639875</v>
      </c>
      <c r="AW2">
        <v>1.7379329045548952</v>
      </c>
      <c r="AY2">
        <f t="array" ref="AY2:AY5">MMULT(AG2:AM5,Y2:Y8)</f>
        <v>3.7892148190504891</v>
      </c>
      <c r="BA2">
        <f t="array" ref="BA2:BA5">MMULT(AT2:AW5,AY2:AY5)</f>
        <v>8.9004268387660304</v>
      </c>
      <c r="BD2">
        <f>SQRT(($T2*1000+coord!$B$7*$R2*$U2*1000-coord!$B$2-BA$2)^2+($U2*1000-coord!$B$7*$R2*$T2*1000-coord!$C$2-BA$3)^2+($V2*1000-coord!$D$2-BA$4)^2)</f>
        <v>23009912.35500963</v>
      </c>
      <c r="BE2" s="3">
        <f>$D2-(BD2-$W2)-(coord!$E$2+BA$5)</f>
        <v>-3.8431820700780435</v>
      </c>
      <c r="BF2" s="3"/>
      <c r="BG2" s="1">
        <f>coord!$B$2+$BA2</f>
        <v>4388887.071226839</v>
      </c>
      <c r="BH2" s="1">
        <f>coord!$C$2+$BA3</f>
        <v>924548.546414059</v>
      </c>
      <c r="BI2" s="1">
        <f>coord!$D$2+$BA4</f>
        <v>4519597.4502528459</v>
      </c>
      <c r="BJ2" s="1">
        <f>coord!$E$2+$BA5</f>
        <v>5.3199585805551095</v>
      </c>
      <c r="BK2" s="8">
        <f>lat($BG2,$BH2,$BI2)</f>
        <v>45.411202046617099</v>
      </c>
      <c r="BL2" s="8">
        <f>lon($BG2,$BH2,$BI2)</f>
        <v>11.895812259100985</v>
      </c>
      <c r="BM2" s="6">
        <f>h($BG2,$BH2,$BI2)</f>
        <v>71.634596275165677</v>
      </c>
      <c r="BO2">
        <f>grado($BK2)</f>
        <v>45</v>
      </c>
      <c r="BP2">
        <f>MINUTOprimo($BK2)</f>
        <v>24</v>
      </c>
      <c r="BQ2">
        <f>MINUTOsecondo($BK2)</f>
        <v>40.327367821556095</v>
      </c>
      <c r="BR2">
        <f>grado($BL2)</f>
        <v>11</v>
      </c>
      <c r="BS2">
        <f>MINUTOprimo($BL2)</f>
        <v>53</v>
      </c>
      <c r="BT2">
        <f>MINUTOsecondo($BL2)</f>
        <v>44.924132763547391</v>
      </c>
      <c r="BU2" t="s">
        <v>90</v>
      </c>
      <c r="BV2">
        <f>-SIN(RADIANS(BK2))*COS(RADIANS(BL2))</f>
        <v>-0.69686893125935601</v>
      </c>
      <c r="BW2">
        <f>-SIN(RADIANS(BL2))</f>
        <v>-0.20613266575441908</v>
      </c>
      <c r="BX2">
        <f>COS(RADIANS(BK2))*COS(RADIANS(BL2))</f>
        <v>0.68693741836823807</v>
      </c>
      <c r="BZ2" t="s">
        <v>93</v>
      </c>
      <c r="CA2">
        <f t="array" ref="CA2:CC4">MINVERSE(BV2:BX4)</f>
        <v>-0.69686893125935623</v>
      </c>
      <c r="CB2">
        <v>-0.1468001219855522</v>
      </c>
      <c r="CC2">
        <v>0.70201382951510993</v>
      </c>
      <c r="CD2">
        <v>0</v>
      </c>
      <c r="CE2" s="1">
        <f t="array" ref="CE2:CE4">MMULT(CA2:CC4,BA2:BA4)</f>
        <v>3.4199016772499471</v>
      </c>
      <c r="CG2" s="1">
        <f t="array" ref="CG2:CI2">TRANSPOSE(CE2:CE4)</f>
        <v>3.4199016772499471</v>
      </c>
      <c r="CH2" s="1">
        <v>-23.036139925130524</v>
      </c>
      <c r="CI2" s="1">
        <v>9.5134563344474934</v>
      </c>
      <c r="CK2">
        <f t="array" ref="CK2:CN5">MMULT(CA2:CD5,AT2:AW5)</f>
        <v>-0.76927492307115208</v>
      </c>
      <c r="CL2">
        <v>0.1972881920781368</v>
      </c>
      <c r="CM2">
        <v>0.59119747612324991</v>
      </c>
      <c r="CN2">
        <v>-5.8191754470446666E-2</v>
      </c>
      <c r="CP2">
        <f t="array" ref="CP2:CS5">TRANSPOSE(CA2:CD5)</f>
        <v>-0.69686893125935623</v>
      </c>
      <c r="CQ2">
        <v>-0.20613266575441913</v>
      </c>
      <c r="CR2">
        <v>0.68693741836823818</v>
      </c>
      <c r="CS2">
        <v>0</v>
      </c>
      <c r="CU2" s="5">
        <f t="array" ref="CU2:CX5">MMULT(CK2:CN5,CP2:CS5)</f>
        <v>0.92215066703478832</v>
      </c>
      <c r="CV2" s="5">
        <v>0.35162393209443016</v>
      </c>
      <c r="CW2" s="5">
        <v>-7.886540077774612E-2</v>
      </c>
      <c r="CX2" s="5">
        <v>-5.8191754470446666E-2</v>
      </c>
      <c r="CZ2" s="3">
        <f>SQRT(CU2+CV3)</f>
        <v>1.252857991973015</v>
      </c>
      <c r="DA2" s="3">
        <f>SQRT(CW4)</f>
        <v>1.8746956661070051</v>
      </c>
      <c r="DB2" s="3">
        <f>SQRT(CX5)</f>
        <v>1.3181065437332458</v>
      </c>
      <c r="DC2" s="3">
        <f>BG9</f>
        <v>3.7730317793552763</v>
      </c>
      <c r="DD2">
        <v>6</v>
      </c>
      <c r="DE2" s="6">
        <f>DB2*DD2*DC2</f>
        <v>29.83954726849009</v>
      </c>
      <c r="DF2">
        <v>5.33</v>
      </c>
      <c r="DG2" s="6">
        <f>DC2*DF2*SQRT(0.5*(CU2+CV3)+SQRT((0.5*(CU2-CV3))^2+CV2^2))</f>
        <v>21.681011516036417</v>
      </c>
    </row>
    <row r="3" spans="1:111">
      <c r="A3">
        <v>0</v>
      </c>
      <c r="B3">
        <f t="shared" ref="B3:B8" si="0">(60-45)/60+30*A3/3600</f>
        <v>0.25</v>
      </c>
      <c r="C3">
        <v>23</v>
      </c>
      <c r="D3">
        <f>tetto!D3*coord!$B$13-tetto!G3*coord!$B$14</f>
        <v>20853426.639321588</v>
      </c>
      <c r="E3" s="5">
        <f>90-DEGREES(ACOS((coord!$B$2*($T3*1000-coord!$B$2)+coord!$C$2*($U3*1000-coord!$C$2)+coord!$D$2*($V3*1000-coord!$D$2))/(SQRT(coord!$B$2^2+coord!$C$2^2+coord!$D$2^2)*SQRT(($T3*1000-coord!$B$2)^2+($U3*1000-coord!$C$2)^2+($V3*1000-coord!$D$2)^2))))</f>
        <v>56.783485074075664</v>
      </c>
      <c r="F3">
        <f>(coord!$C$2*($V3*1000-coord!$D$2)-coord!$D$2*($U3*1000-coord!$C$2))/(SQRT(coord!$B$2^2+coord!$C$2^2+coord!$D$2^2)*SQRT(($T3*1000-coord!$B$2)^2+($U3*1000-coord!$C$2)^2+($V3*1000-coord!$D$2)^2))</f>
        <v>-0.23928434727899828</v>
      </c>
      <c r="G3">
        <f>(-coord!$B$2*($V3*1000-coord!$D$2)+coord!$D$2*($T3*1000-coord!$B$2))/(SQRT(coord!$B$2^2+coord!$C$2^2+coord!$D$2^2)*SQRT(($T3*1000-coord!$B$2)^2+($U3*1000-coord!$C$2)^2+($V3*1000-coord!$D$2)^2))</f>
        <v>-0.38255227950935378</v>
      </c>
      <c r="H3">
        <f>(coord!$B$2*($U3*1000-coord!$C$2)-coord!$C$2*($T3*1000-coord!$B$2))/(SQRT(coord!$B$2^2+coord!$C$2^2+coord!$D$2^2)*SQRT(($T3*1000-coord!$B$2)^2+($U3*1000-coord!$C$2)^2+($V3*1000-coord!$D$2)^2))</f>
        <v>0.31062260670867575</v>
      </c>
      <c r="I3">
        <f t="shared" ref="I3:I4" si="1">$F3*$CA$2+$G3*$CB$2+$H3*$CC$2</f>
        <v>0.44096991432275567</v>
      </c>
      <c r="J3">
        <f t="shared" ref="J3:J4" si="2">$F3*$CA$3+$G3*$CB$3+$H3*$CC$3</f>
        <v>-0.32501228700565238</v>
      </c>
      <c r="K3">
        <f t="shared" ref="K3:K4" si="3">$F3*$CA$4+$G3*$CB$4+$H3*$CC$4</f>
        <v>1.4822842401474301E-3</v>
      </c>
      <c r="L3">
        <f t="shared" ref="L3:L8" si="4">90+DEGREES(ATAN2(I3,J3))</f>
        <v>53.608315247378961</v>
      </c>
      <c r="M3" s="5">
        <f>'sv23'!$AA$3+'sv23'!$Z$3*($B3)+'sv23'!$Y$3*($B3)^2+'sv23'!$X$3*($B3)^3+'sv23'!$W$3*($B3)^4+'sv23'!$V$3*($B3)^5+'sv23'!$U$3*($B3)^6+'sv23'!$T$3*($B3)^7+'sv23'!$S$3*($B3)^8</f>
        <v>9839.6545123608976</v>
      </c>
      <c r="N3" s="5">
        <f>'sv23'!$AA$4+'sv23'!$Z$4*($B3)+'sv23'!$Y$4*($B3)^2+'sv23'!$X$4*($B3)^3+'sv23'!$W$4*($B3)^4+'sv23'!$V$4*($B3)^5+'sv23'!$U$4*($B3)^6+'sv23'!$T$4*($B3)^7+'sv23'!$S$4*($B3)^8</f>
        <v>11520.718233858854</v>
      </c>
      <c r="O3" s="5">
        <f>'sv23'!$AA$5+'sv23'!$Z$5*($B3)+'sv23'!$Y$5*($B3)^2+'sv23'!$X$5*($B3)^3+'sv23'!$W$5*($B3)^4+'sv23'!$V$5*($B3)^5+'sv23'!$U$5*($B3)^6+'sv23'!$T$5*($B3)^7+'sv23'!$S$5*($B3)^8</f>
        <v>21768.269644914024</v>
      </c>
      <c r="P3" s="5">
        <f>'sv23'!$AA$6+'sv23'!$Z$6*$B3+'sv23'!$Y$6*$B3^2+'sv23'!$X$6*$B3^3+'sv23'!$W$6*$B3^4+'sv23'!$V$6*$B3^5+'sv23'!$U$6*$B3^6+'sv23'!$T$6*$B3^7+'sv23'!$S$6*$B3^8</f>
        <v>370.05768191482827</v>
      </c>
      <c r="R3">
        <f>SQRT(($M3*1000-coord!$B$2)^2+($N3*1000-coord!$C$2)^2+($O3*1000-coord!$D$2)^2)/coord!$B$6</f>
        <v>6.9929731640517787E-2</v>
      </c>
      <c r="S3">
        <v>23</v>
      </c>
      <c r="T3" s="5">
        <f>'sv23'!$AA$3+'sv23'!$Z$3*($B3-$R3/3600)+'sv23'!$Y$3*($B3-$R3/3600)^2+'sv23'!$X$3*($B3-$R3/3600)^3+'sv23'!$W$3*($B3-$R3/3600)^4+'sv23'!$V$3*($B3-$R3/3600)^5+'sv23'!$U$3*($B3-$R3/3600)^6+'sv23'!$T$3*($B3-$R3/3600)^7+'sv23'!$S$3*($B3-$R3/3600)^8+N3*coord!$B$7*R3</f>
        <v>9839.8425380081844</v>
      </c>
      <c r="U3" s="5">
        <f>'sv23'!$AA$4+'sv23'!$Z$4*($B3-$R3/3600)+'sv23'!$Y$4*($B3-$R3/3600)^2+'sv23'!$X$4*($B3-$R3/3600)^3+'sv23'!$W$4*($B3-$R3/3600)^4+'sv23'!$V$4*($B3-$R3/3600)^5+'sv23'!$U$4*($B3-$R3/3600)^6+'sv23'!$T$4*($B3-$R3/3600)^7+'sv23'!$S$4*($B3-$R3/3600)^8-M3*coord!$B$7*R3</f>
        <v>11520.523710338563</v>
      </c>
      <c r="V3" s="5">
        <f>'sv23'!$AA$5+'sv23'!$Z$5*($B3-$R3/3600)+'sv23'!$Y$5*($B3-$R3/3600)^2+'sv23'!$X$5*($B3-$R3/3600)^3+'sv23'!$W$5*($B3-$R3/3600)^4+'sv23'!$V$5*($B3-$R3/3600)^5+'sv23'!$U$5*($B3-$R3/3600)^6+'sv23'!$T$5*($B3-$R3/3600)^7+'sv23'!$S$5*($B3-$R3/3600)^8</f>
        <v>21768.28974945992</v>
      </c>
      <c r="W3">
        <f>coord!$B$6*P3/10^6</f>
        <v>110940.50206302851</v>
      </c>
      <c r="X3">
        <f>SQRT(($T3*1000+coord!$B$7*$R3*$U3*1000-coord!$B$2)^2+($U3*1000-coord!$B$7*$R3*$T3*1000-coord!$C$2)^2+($V3*1000-coord!$D$2)^2)</f>
        <v>20964363.160997823</v>
      </c>
      <c r="Y3" s="3">
        <f>$D3-(X3-$W3)-coord!$E$2</f>
        <v>3.9803867936134338</v>
      </c>
      <c r="Z3" s="3"/>
      <c r="AB3">
        <f>-(T3*1000-coord!$B$2)/$X3</f>
        <v>-0.26001096839178872</v>
      </c>
      <c r="AC3">
        <f>-(U3*1000-coord!$C$2)/$X3</f>
        <v>-0.5054269197573964</v>
      </c>
      <c r="AD3">
        <f>-(V3*1000-coord!$D$2)/$X3</f>
        <v>-0.82276295934662436</v>
      </c>
      <c r="AE3">
        <v>1</v>
      </c>
      <c r="AG3">
        <v>0.68362689856524639</v>
      </c>
      <c r="AH3">
        <v>-0.5054269197573964</v>
      </c>
      <c r="AI3">
        <v>0.81847221481365551</v>
      </c>
      <c r="AJ3">
        <v>0.39651476672016361</v>
      </c>
      <c r="AK3">
        <v>-0.89163959215527078</v>
      </c>
      <c r="AL3">
        <v>-0.13127389287139038</v>
      </c>
      <c r="AM3">
        <v>-0.24210146511308134</v>
      </c>
      <c r="AO3">
        <v>0.38561043418195851</v>
      </c>
      <c r="AP3">
        <v>2.420789950964831</v>
      </c>
      <c r="AQ3">
        <v>-0.54177227831591446</v>
      </c>
      <c r="AR3">
        <v>0.12817201020192664</v>
      </c>
      <c r="AT3">
        <v>-0.19292915261911728</v>
      </c>
      <c r="AU3">
        <v>0.4867024499431315</v>
      </c>
      <c r="AV3">
        <v>0.19129229804312245</v>
      </c>
      <c r="AW3">
        <v>-1.3422703529481349E-3</v>
      </c>
      <c r="AY3">
        <v>-53.30804731168277</v>
      </c>
      <c r="BA3">
        <v>-21.666785941000285</v>
      </c>
      <c r="BD3">
        <f>SQRT(($T3*1000+coord!$B$7*$R3*$U3*1000-coord!$B$2-BA$2)^2+($U3*1000-coord!$B$7*$R3*$T3*1000-coord!$C$2-BA$3)^2+($V3*1000-coord!$D$2-BA$4)^2)</f>
        <v>20964364.248070251</v>
      </c>
      <c r="BE3" s="3">
        <f>$D3-(BD3-$W3)-(coord!$E$2+BA$5)</f>
        <v>-2.4266442152575536</v>
      </c>
      <c r="BF3" s="3"/>
      <c r="BG3" s="1"/>
      <c r="BH3" s="1"/>
      <c r="BI3" s="1"/>
      <c r="BU3" t="s">
        <v>91</v>
      </c>
      <c r="BV3">
        <f>-SIN(RADIANS(BK2))*SIN(RADIANS(BL2))</f>
        <v>-0.1468001219855522</v>
      </c>
      <c r="BW3">
        <f>COS(RADIANS(BL2))</f>
        <v>0.97852405392457109</v>
      </c>
      <c r="BX3">
        <f>COS(RADIANS(BK2))*SIN(RADIANS(BL2))</f>
        <v>0.1447079820744179</v>
      </c>
      <c r="BZ3" t="s">
        <v>94</v>
      </c>
      <c r="CA3">
        <v>-0.20613266575441913</v>
      </c>
      <c r="CB3">
        <v>0.97852405392457109</v>
      </c>
      <c r="CC3">
        <v>0</v>
      </c>
      <c r="CD3">
        <v>0</v>
      </c>
      <c r="CE3" s="1">
        <v>-23.036139925130524</v>
      </c>
      <c r="CG3" s="1"/>
      <c r="CH3" s="1"/>
      <c r="CI3" s="1"/>
      <c r="CK3">
        <v>-0.6916197536505172</v>
      </c>
      <c r="CL3">
        <v>0.51601905490449351</v>
      </c>
      <c r="CM3">
        <v>-7.7765884328409418E-2</v>
      </c>
      <c r="CN3">
        <v>-0.35955818634545061</v>
      </c>
      <c r="CP3">
        <v>-0.1468001219855522</v>
      </c>
      <c r="CQ3">
        <v>0.97852405392457109</v>
      </c>
      <c r="CR3">
        <v>0.1447079820744179</v>
      </c>
      <c r="CS3">
        <v>0</v>
      </c>
      <c r="CU3" s="5">
        <v>0.35162393209443038</v>
      </c>
      <c r="CV3" s="5">
        <v>0.6475024810158666</v>
      </c>
      <c r="CW3" s="5">
        <v>-0.45580942167341959</v>
      </c>
      <c r="CX3" s="5">
        <v>-0.35955818634545061</v>
      </c>
    </row>
    <row r="4" spans="1:111">
      <c r="A4">
        <v>0</v>
      </c>
      <c r="B4">
        <f t="shared" si="0"/>
        <v>0.25</v>
      </c>
      <c r="C4">
        <v>10</v>
      </c>
      <c r="D4">
        <f>tetto!D4*coord!$B$13-tetto!G4*coord!$B$14</f>
        <v>23348009.878695577</v>
      </c>
      <c r="E4" s="5">
        <f>90-DEGREES(ACOS((coord!$B$2*($T4*1000-coord!$B$2)+coord!$C$2*($U4*1000-coord!$C$2)+coord!$D$2*($V4*1000-coord!$D$2))/(SQRT(coord!$B$2^2+coord!$C$2^2+coord!$D$2^2)*SQRT(($T4*1000-coord!$B$2)^2+($U4*1000-coord!$C$2)^2+($V4*1000-coord!$D$2)^2))))</f>
        <v>21.303891838011623</v>
      </c>
      <c r="F4">
        <f>(coord!$C$2*($V4*1000-coord!$D$2)-coord!$D$2*($U4*1000-coord!$C$2))/(SQRT(coord!$B$2^2+coord!$C$2^2+coord!$D$2^2)*SQRT(($T4*1000-coord!$B$2)^2+($U4*1000-coord!$C$2)^2+($V4*1000-coord!$D$2)^2))</f>
        <v>0.66250296016159715</v>
      </c>
      <c r="G4">
        <f>(-coord!$B$2*($V4*1000-coord!$D$2)+coord!$D$2*($T4*1000-coord!$B$2))/(SQRT(coord!$B$2^2+coord!$C$2^2+coord!$D$2^2)*SQRT(($T4*1000-coord!$B$2)^2+($U4*1000-coord!$C$2)^2+($V4*1000-coord!$D$2)^2))</f>
        <v>-0.30110458100228193</v>
      </c>
      <c r="H4">
        <f>(coord!$B$2*($U4*1000-coord!$C$2)-coord!$C$2*($T4*1000-coord!$B$2))/(SQRT(coord!$B$2^2+coord!$C$2^2+coord!$D$2^2)*SQRT(($T4*1000-coord!$B$2)^2+($U4*1000-coord!$C$2)^2+($V4*1000-coord!$D$2)^2))</f>
        <v>-0.58174601174220053</v>
      </c>
      <c r="I4">
        <f t="shared" si="1"/>
        <v>-0.82586928609071286</v>
      </c>
      <c r="J4">
        <f t="shared" si="2"/>
        <v>-0.43120157650591606</v>
      </c>
      <c r="K4">
        <f t="shared" si="3"/>
        <v>-2.7723297466624164E-3</v>
      </c>
      <c r="L4">
        <f t="shared" si="4"/>
        <v>-62.430108730463814</v>
      </c>
      <c r="M4" s="5">
        <f>'sv10'!$AA$3+'sv10'!$Z$3*($B4)+'sv10'!$Y$3*($B4)^2+'sv10'!$X$3*($B4)^3+'sv10'!$W$3*($B4)^4+'sv10'!$V$3*($B4)^5+'sv10'!$U$3*($B4)^6+'sv10'!$T$3*($B4)^7+'sv10'!$S$3*($B4)^8</f>
        <v>7216.5738552998246</v>
      </c>
      <c r="N4" s="5">
        <f>'sv10'!$AA$4+'sv10'!$Z$4*($B4)+'sv10'!$Y$4*($B4)^2+'sv10'!$X$4*($B4)^3+'sv10'!$W$4*($B4)^4+'sv10'!$V$4*($B4)^5+'sv10'!$U$4*($B4)^6+'sv10'!$T$4*($B4)^7+'sv10'!$S$4*($B4)^8</f>
        <v>-18174.38359195046</v>
      </c>
      <c r="O4" s="5">
        <f>'sv10'!$AA$5+'sv10'!$Z$5*($B4)+'sv10'!$Y$5*($B4)^2+'sv10'!$X$5*($B4)^3+'sv10'!$W$5*($B4)^4+'sv10'!$V$5*($B4)^5+'sv10'!$U$5*($B4)^6+'sv10'!$T$5*($B4)^7+'sv10'!$S$5*($B4)^8</f>
        <v>17625.254464810878</v>
      </c>
      <c r="P4" s="5">
        <f>'sv10'!$AA$6+'sv10'!$Z$6*$B4+'sv10'!$Y$6*$B4^2+'sv10'!$X$6*$B4^3+'sv10'!$W$6*$B4^4+'sv10'!$V$6*$B4^5+'sv10'!$U$6*$B4^6+'sv10'!$T$6*$B4^7+'sv10'!$S$6*$B4^8</f>
        <v>-43.000473929301364</v>
      </c>
      <c r="R4">
        <f>SQRT(($M4*1000-coord!$B$2)^2+($N4*1000-coord!$C$2)^2+($O4*1000-coord!$D$2)^2)/coord!$B$6</f>
        <v>7.7837336041039748E-2</v>
      </c>
      <c r="S4">
        <v>10</v>
      </c>
      <c r="T4" s="5">
        <f>'sv10'!$AA$3+'sv10'!$Z$3*($B4-$R4/3600)+'sv10'!$Y$3*($B4-$R4/3600)^2+'sv10'!$X$3*($B4-$R4/3600)^3+'sv10'!$W$3*($B4-$R4/3600)^4+'sv10'!$V$3*($B4-$R4/3600)^5+'sv10'!$U$3*($B4-$R4/3600)^6+'sv10'!$T$3*($B4-$R4/3600)^7+'sv10'!$S$3*($B4-$R4/3600)^8+N4*coord!$B$7*R4</f>
        <v>7216.4005115086984</v>
      </c>
      <c r="U4" s="5">
        <f>'sv10'!$AA$4+'sv10'!$Z$4*($B4-$R4/3600)+'sv10'!$Y$4*($B4-$R4/3600)^2+'sv10'!$X$4*($B4-$R4/3600)^3+'sv10'!$W$4*($B4-$R4/3600)^4+'sv10'!$V$4*($B4-$R4/3600)^5+'sv10'!$U$4*($B4-$R4/3600)^6+'sv10'!$T$4*($B4-$R4/3600)^7+'sv10'!$S$4*($B4-$R4/3600)^8-M4*coord!$B$7*R4</f>
        <v>-18174.589178876497</v>
      </c>
      <c r="V4" s="5">
        <f>'sv10'!$AA$5+'sv10'!$Z$5*($B4-$R4/3600)+'sv10'!$Y$5*($B4-$R4/3600)^2+'sv10'!$X$5*($B4-$R4/3600)^3+'sv10'!$W$5*($B4-$R4/3600)^4+'sv10'!$V$5*($B4-$R4/3600)^5+'sv10'!$U$5*($B4-$R4/3600)^6+'sv10'!$T$5*($B4-$R4/3600)^7+'sv10'!$S$5*($B4-$R4/3600)^8</f>
        <v>17625.11225384066</v>
      </c>
      <c r="W4">
        <f>coord!$B$6*P4/10^6</f>
        <v>-12891.217774430173</v>
      </c>
      <c r="X4">
        <f>SQRT(($T4*1000+coord!$B$7*$R4*$U4*1000-coord!$B$2)^2+($U4*1000-coord!$B$7*$R4*$T4*1000-coord!$C$2)^2+($V4*1000-coord!$D$2)^2)</f>
        <v>23335134.713674881</v>
      </c>
      <c r="Y4" s="3">
        <f>$D4-(X4-$W4)-coord!$E$2</f>
        <v>-16.052753731608391</v>
      </c>
      <c r="Z4" s="3"/>
      <c r="AB4">
        <f>-(T4*1000-coord!$B$2)/$X4</f>
        <v>-0.12117017430594521</v>
      </c>
      <c r="AC4">
        <f>-(U4*1000-coord!$C$2)/$X4</f>
        <v>0.81847221481365551</v>
      </c>
      <c r="AD4">
        <f>-(V4*1000-coord!$D$2)/$X4</f>
        <v>-0.5616219550624898</v>
      </c>
      <c r="AE4">
        <v>1</v>
      </c>
      <c r="AG4">
        <v>-0.72800647413236519</v>
      </c>
      <c r="AH4">
        <v>-0.82276295934662436</v>
      </c>
      <c r="AI4">
        <v>-0.5616219550624898</v>
      </c>
      <c r="AJ4">
        <v>-0.50728284117543954</v>
      </c>
      <c r="AK4">
        <v>-0.13598767156592065</v>
      </c>
      <c r="AL4">
        <v>-0.81707714508759555</v>
      </c>
      <c r="AM4">
        <v>0.11412489898317904</v>
      </c>
      <c r="AO4">
        <v>1.1151223016963425</v>
      </c>
      <c r="AP4">
        <v>-0.54177227831591446</v>
      </c>
      <c r="AQ4">
        <v>2.4788196154210298</v>
      </c>
      <c r="AR4">
        <v>-3.458614147387256</v>
      </c>
      <c r="AT4">
        <v>1.2853372769639888</v>
      </c>
      <c r="AU4">
        <v>0.19129229804312228</v>
      </c>
      <c r="AV4">
        <v>2.1580640717049775</v>
      </c>
      <c r="AW4">
        <v>1.6420227029884042</v>
      </c>
      <c r="AY4">
        <v>26.009376340497923</v>
      </c>
      <c r="BA4">
        <v>9.17595284612635</v>
      </c>
      <c r="BD4">
        <f>SQRT(($T4*1000+coord!$B$7*$R4*$U4*1000-coord!$B$2-BA$2)^2+($U4*1000-coord!$B$7*$R4*$T4*1000-coord!$C$2-BA$3)^2+($V4*1000-coord!$D$2-BA$4)^2)</f>
        <v>23335110.748132322</v>
      </c>
      <c r="BE4" s="3">
        <f>$D4-(BD4-$W4)-(coord!$E$2+BA$5)</f>
        <v>2.5928302464171367</v>
      </c>
      <c r="BF4" s="3"/>
      <c r="BG4" s="1"/>
      <c r="BH4" s="1"/>
      <c r="BI4" s="1"/>
      <c r="BU4" t="s">
        <v>92</v>
      </c>
      <c r="BV4">
        <f>COS(RADIANS(BK2))</f>
        <v>0.70201382951510993</v>
      </c>
      <c r="BW4">
        <v>0</v>
      </c>
      <c r="BX4">
        <f>SIN(RADIANS(BK2))</f>
        <v>0.71216331214794415</v>
      </c>
      <c r="BZ4" t="s">
        <v>95</v>
      </c>
      <c r="CA4">
        <v>0.68693741836823818</v>
      </c>
      <c r="CB4">
        <v>0.1447079820744179</v>
      </c>
      <c r="CC4">
        <v>0.71216331214794415</v>
      </c>
      <c r="CD4">
        <v>0</v>
      </c>
      <c r="CE4" s="1">
        <v>9.5134563344474934</v>
      </c>
      <c r="CG4" s="1"/>
      <c r="CH4" s="1"/>
      <c r="CI4" s="1"/>
      <c r="CK4">
        <v>2.563146515022817</v>
      </c>
      <c r="CL4">
        <v>7.4130831936579239E-2</v>
      </c>
      <c r="CM4">
        <v>2.4475218503391964</v>
      </c>
      <c r="CN4">
        <v>2.3630452323003217</v>
      </c>
      <c r="CP4">
        <v>0.70201382951510993</v>
      </c>
      <c r="CQ4">
        <v>0</v>
      </c>
      <c r="CR4">
        <v>0.71216331214794415</v>
      </c>
      <c r="CS4">
        <v>0</v>
      </c>
      <c r="CU4" s="5">
        <v>-7.8865400777747174E-2</v>
      </c>
      <c r="CV4" s="5">
        <v>-0.45580942167342003</v>
      </c>
      <c r="CW4" s="5">
        <v>3.5144838405203878</v>
      </c>
      <c r="CX4" s="5">
        <v>2.3630452323003217</v>
      </c>
    </row>
    <row r="5" spans="1:111">
      <c r="A5">
        <v>0</v>
      </c>
      <c r="B5">
        <f t="shared" si="0"/>
        <v>0.25</v>
      </c>
      <c r="C5">
        <v>4</v>
      </c>
      <c r="D5">
        <f>tetto!D5*coord!$B$13-tetto!G5*coord!$B$14</f>
        <v>21052367.922543153</v>
      </c>
      <c r="E5" s="5">
        <f>90-DEGREES(ACOS((coord!$B$2*($T5*1000-coord!$B$2)+coord!$C$2*($U5*1000-coord!$C$2)+coord!$D$2*($V5*1000-coord!$D$2))/(SQRT(coord!$B$2^2+coord!$C$2^2+coord!$D$2^2)*SQRT(($T5*1000-coord!$B$2)^2+($U5*1000-coord!$C$2)^2+($V5*1000-coord!$D$2)^2))))</f>
        <v>56.086995092518279</v>
      </c>
      <c r="F5">
        <f>(coord!$C$2*($V5*1000-coord!$D$2)-coord!$D$2*($U5*1000-coord!$C$2))/(SQRT(coord!$B$2^2+coord!$C$2^2+coord!$D$2^2)*SQRT(($T5*1000-coord!$B$2)^2+($U5*1000-coord!$C$2)^2+($V5*1000-coord!$D$2)^2))</f>
        <v>0.35510633540182668</v>
      </c>
      <c r="G5">
        <f>(-coord!$B$2*($V5*1000-coord!$D$2)+coord!$D$2*($T5*1000-coord!$B$2))/(SQRT(coord!$B$2^2+coord!$C$2^2+coord!$D$2^2)*SQRT(($T5*1000-coord!$B$2)^2+($U5*1000-coord!$C$2)^2+($V5*1000-coord!$D$2)^2))</f>
        <v>0.19344088994138789</v>
      </c>
      <c r="H5">
        <f>(coord!$B$2*($U5*1000-coord!$C$2)-coord!$C$2*($T5*1000-coord!$B$2))/(SQRT(coord!$B$2^2+coord!$C$2^2+coord!$D$2^2)*SQRT(($T5*1000-coord!$B$2)^2+($U5*1000-coord!$C$2)^2+($V5*1000-coord!$D$2)^2))</f>
        <v>-0.384408495457842</v>
      </c>
      <c r="I5">
        <f t="shared" ref="I3:I66" si="5">$F5*$CA$2+$G5*$CB$2+$H5*$CC$2</f>
        <v>-0.54571979866978837</v>
      </c>
      <c r="J5">
        <f t="shared" ref="J3:J66" si="6">$F5*$CA$3+$G5*$CB$3+$H5*$CC$3</f>
        <v>0.11608754827756226</v>
      </c>
      <c r="K5">
        <f t="shared" ref="K3:K66" si="7">$F5*$CA$4+$G5*$CB$4+$H5*$CC$4</f>
        <v>-1.8333572218303673E-3</v>
      </c>
      <c r="L5">
        <f t="shared" si="4"/>
        <v>257.99083658865516</v>
      </c>
      <c r="M5" s="5">
        <f>'sv04'!$AA$3+'sv04'!$Z$3*($B5)+'sv04'!$Y$3*($B5)^2+'sv04'!$X$3*($B5)^3+'sv04'!$W$3*($B5)^4+'sv04'!$V$3*($B5)^5+'sv04'!$U$3*($B5)^6+'sv04'!$T$3*($B5)^7+'sv04'!$S$3*($B5)^8</f>
        <v>20516.924905512991</v>
      </c>
      <c r="N5" s="5">
        <f>'sv04'!$AA$4+'sv04'!$Z$4*($B5)+'sv04'!$Y$4*($B5)^2+'sv04'!$X$4*($B5)^3+'sv04'!$W$4*($B5)^4+'sv04'!$V$4*($B5)^5+'sv04'!$U$4*($B5)^6+'sv04'!$T$4*($B5)^7+'sv04'!$S$4*($B5)^8</f>
        <v>-7433.1557949291928</v>
      </c>
      <c r="O5" s="5">
        <f>'sv04'!$AA$5+'sv04'!$Z$5*($B5)+'sv04'!$Y$5*($B5)^2+'sv04'!$X$5*($B5)^3+'sv04'!$W$5*($B5)^4+'sv04'!$V$5*($B5)^5+'sv04'!$U$5*($B5)^6+'sv04'!$T$5*($B5)^7+'sv04'!$S$5*($B5)^8</f>
        <v>15212.114375982748</v>
      </c>
      <c r="P5" s="5">
        <f>'sv04'!$AA$6+'sv04'!$Z$6*$B5+'sv04'!$Y$6*$B5^2+'sv04'!$X$6*$B5^3+'sv04'!$W$6*$B5^4+'sv04'!$V$6*$B5^5+'sv04'!$U$6*$B5^6+'sv04'!$T$6*$B5^7+'sv04'!$S$6*$B5^8</f>
        <v>86.594856978187465</v>
      </c>
      <c r="R5">
        <f>SQRT(($M5*1000-coord!$B$2)^2+($N5*1000-coord!$C$2)^2+($O5*1000-coord!$D$2)^2)/coord!$B$6</f>
        <v>7.0309708650387687E-2</v>
      </c>
      <c r="S5">
        <v>4</v>
      </c>
      <c r="T5" s="5">
        <f>'sv04'!$AA$3+'sv04'!$Z$3*($B5-$R5/3600)+'sv04'!$Y$3*($B5-$R5/3600)^2+'sv04'!$X$3*($B5-$R5/3600)^3+'sv04'!$W$3*($B5-$R5/3600)^4+'sv04'!$V$3*($B5-$R5/3600)^5+'sv04'!$U$3*($B5-$R5/3600)^6+'sv04'!$T$3*($B5-$R5/3600)^7+'sv04'!$S$3*($B5-$R5/3600)^8+N5*coord!$B$7*R5</f>
        <v>20516.754839901761</v>
      </c>
      <c r="U5" s="5">
        <f>'sv04'!$AA$4+'sv04'!$Z$4*($B5-$R5/3600)+'sv04'!$Y$4*($B5-$R5/3600)^2+'sv04'!$X$4*($B5-$R5/3600)^3+'sv04'!$W$4*($B5-$R5/3600)^4+'sv04'!$V$4*($B5-$R5/3600)^5+'sv04'!$U$4*($B5-$R5/3600)^6+'sv04'!$T$4*($B5-$R5/3600)^7+'sv04'!$S$4*($B5-$R5/3600)^8-M5*coord!$B$7*R5</f>
        <v>-7433.3023709088557</v>
      </c>
      <c r="V5" s="5">
        <f>'sv04'!$AA$5+'sv04'!$Z$5*($B5-$R5/3600)+'sv04'!$Y$5*($B5-$R5/3600)^2+'sv04'!$X$5*($B5-$R5/3600)^3+'sv04'!$W$5*($B5-$R5/3600)^4+'sv04'!$V$5*($B5-$R5/3600)^5+'sv04'!$U$5*($B5-$R5/3600)^6+'sv04'!$T$5*($B5-$R5/3600)^7+'sv04'!$S$5*($B5-$R5/3600)^8</f>
        <v>15212.267857759887</v>
      </c>
      <c r="W5">
        <f>coord!$B$6*P5/10^6</f>
        <v>25960.485023649271</v>
      </c>
      <c r="X5">
        <f>SQRT(($T5*1000+coord!$B$7*$R5*$U5*1000-coord!$B$2)^2+($U5*1000-coord!$B$7*$R5*$T5*1000-coord!$C$2)^2+($V5*1000-coord!$D$2)^2)</f>
        <v>21078338.779769436</v>
      </c>
      <c r="Y5" s="3">
        <f>$D5-(X5-$W5)-coord!$E$2</f>
        <v>-10.372202634811401</v>
      </c>
      <c r="Z5" s="3"/>
      <c r="AB5">
        <f>-(T5*1000-coord!$B$2)/$X5</f>
        <v>-0.76513983562029897</v>
      </c>
      <c r="AC5">
        <f>-(U5*1000-coord!$C$2)/$X5</f>
        <v>0.39651476672016361</v>
      </c>
      <c r="AD5">
        <f>-(V5*1000-coord!$D$2)/$X5</f>
        <v>-0.50728284117543954</v>
      </c>
      <c r="AE5">
        <v>1</v>
      </c>
      <c r="AG5">
        <v>1</v>
      </c>
      <c r="AH5">
        <v>1</v>
      </c>
      <c r="AI5">
        <v>1</v>
      </c>
      <c r="AJ5">
        <v>1</v>
      </c>
      <c r="AK5">
        <v>1</v>
      </c>
      <c r="AL5">
        <v>1</v>
      </c>
      <c r="AM5">
        <v>1</v>
      </c>
      <c r="AO5">
        <v>-3.1546321596660456</v>
      </c>
      <c r="AP5">
        <v>0.12817201020192664</v>
      </c>
      <c r="AQ5">
        <v>-3.458614147387256</v>
      </c>
      <c r="AR5">
        <v>7</v>
      </c>
      <c r="AT5">
        <v>1.7379329045548959</v>
      </c>
      <c r="AU5">
        <v>-1.3422703529482999E-3</v>
      </c>
      <c r="AV5">
        <v>1.6420227029884038</v>
      </c>
      <c r="AW5">
        <v>1.7374048606324031</v>
      </c>
      <c r="AY5">
        <v>-25.351018514484167</v>
      </c>
      <c r="BA5">
        <v>5.3199585805551095</v>
      </c>
      <c r="BD5">
        <f>SQRT(($T5*1000+coord!$B$7*$R5*$U5*1000-coord!$B$2-BA$2)^2+($U5*1000-coord!$B$7*$R5*$T5*1000-coord!$C$2-BA$3)^2+($V5*1000-coord!$D$2-BA$4)^2)</f>
        <v>21078318.723607738</v>
      </c>
      <c r="BE5" s="3">
        <f>$D5-(BD5-$W5)-(coord!$E$2+BA$5)</f>
        <v>4.3640004825874286</v>
      </c>
      <c r="BF5" s="3"/>
      <c r="BG5" s="1"/>
      <c r="BH5" s="1"/>
      <c r="BI5" s="1"/>
      <c r="CA5">
        <v>0</v>
      </c>
      <c r="CB5">
        <v>0</v>
      </c>
      <c r="CC5">
        <v>0</v>
      </c>
      <c r="CD5">
        <v>1</v>
      </c>
      <c r="CG5" s="1"/>
      <c r="CH5" s="1"/>
      <c r="CI5" s="1"/>
      <c r="CK5">
        <v>1.7379329045548959</v>
      </c>
      <c r="CL5">
        <v>-1.3422703529482999E-3</v>
      </c>
      <c r="CM5">
        <v>1.6420227029884038</v>
      </c>
      <c r="CN5">
        <v>1.7374048606324031</v>
      </c>
      <c r="CP5">
        <v>0</v>
      </c>
      <c r="CQ5">
        <v>0</v>
      </c>
      <c r="CR5">
        <v>0</v>
      </c>
      <c r="CS5">
        <v>1</v>
      </c>
      <c r="CU5" s="5">
        <v>-5.8191754470447554E-2</v>
      </c>
      <c r="CV5" s="5">
        <v>-0.35955818634545089</v>
      </c>
      <c r="CW5" s="5">
        <v>2.3630452323003217</v>
      </c>
      <c r="CX5" s="5">
        <v>1.7374048606324031</v>
      </c>
    </row>
    <row r="6" spans="1:111">
      <c r="A6">
        <v>0</v>
      </c>
      <c r="B6">
        <f t="shared" si="0"/>
        <v>0.25</v>
      </c>
      <c r="C6">
        <v>20</v>
      </c>
      <c r="D6">
        <f>tetto!D6*coord!$B$13-tetto!G6*coord!$B$14</f>
        <v>22635209.699081145</v>
      </c>
      <c r="E6" s="5">
        <f>90-DEGREES(ACOS((coord!$B$2*($T6*1000-coord!$B$2)+coord!$C$2*($U6*1000-coord!$C$2)+coord!$D$2*($V6*1000-coord!$D$2))/(SQRT(coord!$B$2^2+coord!$C$2^2+coord!$D$2^2)*SQRT(($T6*1000-coord!$B$2)^2+($U6*1000-coord!$C$2)^2+($V6*1000-coord!$D$2)^2))))</f>
        <v>31.577455643899668</v>
      </c>
      <c r="F6">
        <f>(coord!$C$2*($V6*1000-coord!$D$2)-coord!$D$2*($U6*1000-coord!$C$2))/(SQRT(coord!$B$2^2+coord!$C$2^2+coord!$D$2^2)*SQRT(($T6*1000-coord!$B$2)^2+($U6*1000-coord!$C$2)^2+($V6*1000-coord!$D$2)^2))</f>
        <v>-0.6131406007731991</v>
      </c>
      <c r="G6">
        <f>(-coord!$B$2*($V6*1000-coord!$D$2)+coord!$D$2*($T6*1000-coord!$B$2))/(SQRT(coord!$B$2^2+coord!$C$2^2+coord!$D$2^2)*SQRT(($T6*1000-coord!$B$2)^2+($U6*1000-coord!$C$2)^2+($V6*1000-coord!$D$2)^2))</f>
        <v>0.2127895166379829</v>
      </c>
      <c r="H6">
        <f>(coord!$B$2*($U6*1000-coord!$C$2)-coord!$C$2*($T6*1000-coord!$B$2))/(SQRT(coord!$B$2^2+coord!$C$2^2+coord!$D$2^2)*SQRT(($T6*1000-coord!$B$2)^2+($U6*1000-coord!$C$2)^2+($V6*1000-coord!$D$2)^2))</f>
        <v>0.55187782563806687</v>
      </c>
      <c r="I6">
        <f t="shared" si="5"/>
        <v>0.78346697397348763</v>
      </c>
      <c r="J6">
        <f t="shared" si="6"/>
        <v>0.33460796697289458</v>
      </c>
      <c r="K6">
        <f t="shared" si="7"/>
        <v>2.6302603747926367E-3</v>
      </c>
      <c r="L6">
        <f t="shared" si="4"/>
        <v>113.12666141649049</v>
      </c>
      <c r="M6" s="5">
        <f>'sv20'!$AA$3+'sv20'!$Z$3*($B6)+'sv20'!$Y$3*($B6)^2+'sv20'!$X$3*($B6)^3+'sv20'!$W$3*($B6)^4+'sv20'!$V$3*($B6)^5+'sv20'!$U$3*($B6)^6+'sv20'!$T$3*($B6)^7+'sv20'!$S$3*($B6)^8</f>
        <v>14170.825988992587</v>
      </c>
      <c r="N6" s="5">
        <f>'sv20'!$AA$4+'sv20'!$Z$4*($B6)+'sv20'!$Y$4*($B6)^2+'sv20'!$X$4*($B6)^3+'sv20'!$W$4*($B6)^4+'sv20'!$V$4*($B6)^5+'sv20'!$U$4*($B6)^6+'sv20'!$T$4*($B6)^7+'sv20'!$S$4*($B6)^8</f>
        <v>21122.075463045097</v>
      </c>
      <c r="O6" s="5">
        <f>'sv20'!$AA$5+'sv20'!$Z$5*($B6)+'sv20'!$Y$5*($B6)^2+'sv20'!$X$5*($B6)^3+'sv20'!$W$5*($B6)^4+'sv20'!$V$5*($B6)^5+'sv20'!$U$5*($B6)^6+'sv20'!$T$5*($B6)^7+'sv20'!$S$5*($B6)^8</f>
        <v>7599.749788201193</v>
      </c>
      <c r="P6" s="5">
        <f>'sv20'!$AA$6+'sv20'!$Z$6*$B6+'sv20'!$Y$6*$B6^2+'sv20'!$X$6*$B6^3+'sv20'!$W$6*$B6^4+'sv20'!$V$6*$B6^5+'sv20'!$U$6*$B6^6+'sv20'!$T$6*$B6^7+'sv20'!$S$6*$B6^8</f>
        <v>55.818327488189837</v>
      </c>
      <c r="R6">
        <f>SQRT(($M6*1000-coord!$B$2)^2+($N6*1000-coord!$C$2)^2+($O6*1000-coord!$D$2)^2)/coord!$B$6</f>
        <v>7.5558939756320873E-2</v>
      </c>
      <c r="S6">
        <v>20</v>
      </c>
      <c r="T6" s="5">
        <f>'sv20'!$AA$3+'sv20'!$Z$3*($B6-$R6/3600)+'sv20'!$Y$3*($B6-$R6/3600)^2+'sv20'!$X$3*($B6-$R6/3600)^3+'sv20'!$W$3*($B6-$R6/3600)^4+'sv20'!$V$3*($B6-$R6/3600)^5+'sv20'!$U$3*($B6-$R6/3600)^6+'sv20'!$T$3*($B6-$R6/3600)^7+'sv20'!$S$3*($B6-$R6/3600)^8+N6*coord!$B$7*R6</f>
        <v>14170.938779412425</v>
      </c>
      <c r="U6" s="5">
        <f>'sv20'!$AA$4+'sv20'!$Z$4*($B6-$R6/3600)+'sv20'!$Y$4*($B6-$R6/3600)^2+'sv20'!$X$4*($B6-$R6/3600)^3+'sv20'!$W$4*($B6-$R6/3600)^4+'sv20'!$V$4*($B6-$R6/3600)^5+'sv20'!$U$4*($B6-$R6/3600)^6+'sv20'!$T$4*($B6-$R6/3600)^7+'sv20'!$S$4*($B6-$R6/3600)^8-M6*coord!$B$7*R6</f>
        <v>21121.918948397368</v>
      </c>
      <c r="V6" s="5">
        <f>'sv20'!$AA$5+'sv20'!$Z$5*($B6-$R6/3600)+'sv20'!$Y$5*($B6-$R6/3600)^2+'sv20'!$X$5*($B6-$R6/3600)^3+'sv20'!$W$5*($B6-$R6/3600)^4+'sv20'!$V$5*($B6-$R6/3600)^5+'sv20'!$U$5*($B6-$R6/3600)^6+'sv20'!$T$5*($B6-$R6/3600)^7+'sv20'!$S$5*($B6-$R6/3600)^8</f>
        <v>7599.9701353895525</v>
      </c>
      <c r="W6">
        <f>coord!$B$6*P6/10^6</f>
        <v>16733.913599133397</v>
      </c>
      <c r="X6">
        <f>SQRT(($T6*1000+coord!$B$7*$R6*$U6*1000-coord!$B$2)^2+($U6*1000-coord!$B$7*$R6*$T6*1000-coord!$C$2)^2+($V6*1000-coord!$D$2)^2)</f>
        <v>22651920.027885199</v>
      </c>
      <c r="Y6" s="3">
        <f>$D6-(X6-$W6)-coord!$E$2</f>
        <v>23.584795080125332</v>
      </c>
      <c r="Z6" s="3"/>
      <c r="AB6">
        <f>-(T6*1000-coord!$B$2)/$X6</f>
        <v>-0.43184244852402848</v>
      </c>
      <c r="AC6">
        <f>-(U6*1000-coord!$C$2)/$X6</f>
        <v>-0.89163959215527078</v>
      </c>
      <c r="AD6">
        <f>-(V6*1000-coord!$D$2)/$X6</f>
        <v>-0.13598767156592065</v>
      </c>
      <c r="AE6">
        <v>1</v>
      </c>
      <c r="BD6">
        <f>SQRT(($T6*1000+coord!$B$7*$R6*$U6*1000-coord!$B$2-BA$2)^2+($U6*1000-coord!$B$7*$R6*$T6*1000-coord!$C$2-BA$3)^2+($V6*1000-coord!$D$2-BA$4)^2)</f>
        <v>22651934.255339883</v>
      </c>
      <c r="BE6" s="3">
        <f>$D6-(BD6-$W6)-(coord!$E$2+BA$5)</f>
        <v>4.0373818148954825</v>
      </c>
      <c r="BF6" s="3"/>
      <c r="BG6" s="1"/>
      <c r="BH6" s="1"/>
      <c r="BI6" s="1"/>
      <c r="CG6" s="1"/>
      <c r="CH6" s="1"/>
      <c r="CI6" s="1"/>
    </row>
    <row r="7" spans="1:111">
      <c r="A7">
        <v>0</v>
      </c>
      <c r="B7">
        <f t="shared" si="0"/>
        <v>0.25</v>
      </c>
      <c r="C7">
        <v>13</v>
      </c>
      <c r="D7">
        <f>tetto!D7*coord!$B$13-tetto!G7*coord!$B$14</f>
        <v>20063891.04438515</v>
      </c>
      <c r="E7" s="5">
        <f>90-DEGREES(ACOS((coord!$B$2*($T7*1000-coord!$B$2)+coord!$C$2*($U7*1000-coord!$C$2)+coord!$D$2*($V7*1000-coord!$D$2))/(SQRT(coord!$B$2^2+coord!$C$2^2+coord!$D$2^2)*SQRT(($T7*1000-coord!$B$2)^2+($U7*1000-coord!$C$2)^2+($V7*1000-coord!$D$2)^2))))</f>
        <v>80.391438237083506</v>
      </c>
      <c r="F7">
        <f>(coord!$C$2*($V7*1000-coord!$D$2)-coord!$D$2*($U7*1000-coord!$C$2))/(SQRT(coord!$B$2^2+coord!$C$2^2+coord!$D$2^2)*SQRT(($T7*1000-coord!$B$2)^2+($U7*1000-coord!$C$2)^2+($V7*1000-coord!$D$2)^2))</f>
        <v>2.5464284772090555E-2</v>
      </c>
      <c r="G7">
        <f>(-coord!$B$2*($V7*1000-coord!$D$2)+coord!$D$2*($T7*1000-coord!$B$2))/(SQRT(coord!$B$2^2+coord!$C$2^2+coord!$D$2^2)*SQRT(($T7*1000-coord!$B$2)^2+($U7*1000-coord!$C$2)^2+($V7*1000-coord!$D$2)^2))</f>
        <v>-0.16471828928063439</v>
      </c>
      <c r="H7">
        <f>(coord!$B$2*($U7*1000-coord!$C$2)-coord!$C$2*($T7*1000-coord!$B$2))/(SQRT(coord!$B$2^2+coord!$C$2^2+coord!$D$2^2)*SQRT(($T7*1000-coord!$B$2)^2+($U7*1000-coord!$C$2)^2+($V7*1000-coord!$D$2)^2))</f>
        <v>8.9685116888551901E-3</v>
      </c>
      <c r="I7">
        <f t="shared" si="5"/>
        <v>1.2731415280982216E-2</v>
      </c>
      <c r="J7">
        <f t="shared" si="6"/>
        <v>-0.16642982908400727</v>
      </c>
      <c r="K7">
        <f t="shared" si="7"/>
        <v>4.3363778755366005E-5</v>
      </c>
      <c r="L7">
        <f t="shared" si="4"/>
        <v>4.37444693195215</v>
      </c>
      <c r="M7" s="5">
        <f>'sv13'!$AA$3+'sv13'!$Z$3*($B7)+'sv13'!$Y$3*($B7)^2+'sv13'!$X$3*($B7)^3+'sv13'!$W$3*($B7)^4+'sv13'!$V$3*($B7)^5+'sv13'!$U$3*($B7)^6+'sv13'!$T$3*($B7)^7+'sv13'!$S$3*($B7)^8</f>
        <v>15703.488675662749</v>
      </c>
      <c r="N7" s="5">
        <f>'sv13'!$AA$4+'sv13'!$Z$4*($B7)+'sv13'!$Y$4*($B7)^2+'sv13'!$X$4*($B7)^3+'sv13'!$W$4*($B7)^4+'sv13'!$V$4*($B7)^5+'sv13'!$U$4*($B7)^6+'sv13'!$T$4*($B7)^7+'sv13'!$S$4*($B7)^8</f>
        <v>3570.6169149658372</v>
      </c>
      <c r="O7" s="5">
        <f>'sv13'!$AA$5+'sv13'!$Z$5*($B7)+'sv13'!$Y$5*($B7)^2+'sv13'!$X$5*($B7)^3+'sv13'!$W$5*($B7)^4+'sv13'!$V$5*($B7)^5+'sv13'!$U$5*($B7)^6+'sv13'!$T$5*($B7)^7+'sv13'!$S$5*($B7)^8</f>
        <v>20987.928020137464</v>
      </c>
      <c r="P7" s="5">
        <f>'sv13'!$AA$6+'sv13'!$Z$6*$B7+'sv13'!$Y$6*$B7^2+'sv13'!$X$6*$B7^3+'sv13'!$W$6*$B7^4+'sv13'!$V$6*$B7^5+'sv13'!$U$6*$B7^6+'sv13'!$T$6*$B7^7+'sv13'!$S$6*$B7^8</f>
        <v>304.21961519236191</v>
      </c>
      <c r="R7">
        <f>SQRT(($M7*1000-coord!$B$2)^2+($N7*1000-coord!$C$2)^2+($O7*1000-coord!$D$2)^2)/coord!$B$6</f>
        <v>6.7230187874107616E-2</v>
      </c>
      <c r="S7">
        <v>13</v>
      </c>
      <c r="T7" s="5">
        <f>'sv13'!$AA$3+'sv13'!$Z$3*($B7-$R7/3600)+'sv13'!$Y$3*($B7-$R7/3600)^2+'sv13'!$X$3*($B7-$R7/3600)^3+'sv13'!$W$3*($B7-$R7/3600)^4+'sv13'!$V$3*($B7-$R7/3600)^5+'sv13'!$U$3*($B7-$R7/3600)^6+'sv13'!$T$3*($B7-$R7/3600)^7+'sv13'!$S$3*($B7-$R7/3600)^8+N7*coord!$B$7*R7</f>
        <v>15703.630199473157</v>
      </c>
      <c r="U7" s="5">
        <f>'sv13'!$AA$4+'sv13'!$Z$4*($B7-$R7/3600)+'sv13'!$Y$4*($B7-$R7/3600)^2+'sv13'!$X$4*($B7-$R7/3600)^3+'sv13'!$W$4*($B7-$R7/3600)^4+'sv13'!$V$4*($B7-$R7/3600)^5+'sv13'!$U$4*($B7-$R7/3600)^6+'sv13'!$T$4*($B7-$R7/3600)^7+'sv13'!$S$4*($B7-$R7/3600)^8-M7*coord!$B$7*R7</f>
        <v>3570.4083995390915</v>
      </c>
      <c r="V7" s="5">
        <f>'sv13'!$AA$5+'sv13'!$Z$5*($B7-$R7/3600)+'sv13'!$Y$5*($B7-$R7/3600)^2+'sv13'!$X$5*($B7-$R7/3600)^3+'sv13'!$W$5*($B7-$R7/3600)^4+'sv13'!$V$5*($B7-$R7/3600)^5+'sv13'!$U$5*($B7-$R7/3600)^6+'sv13'!$T$5*($B7-$R7/3600)^7+'sv13'!$S$5*($B7-$R7/3600)^8</f>
        <v>20987.858273542457</v>
      </c>
      <c r="W7">
        <f>coord!$B$6*P7/10^6</f>
        <v>91202.74621033232</v>
      </c>
      <c r="X7">
        <f>SQRT(($T7*1000+coord!$B$7*$R7*$U7*1000-coord!$B$2)^2+($U7*1000-coord!$B$7*$R7*$T7*1000-coord!$C$2)^2+($V7*1000-coord!$D$2)^2)</f>
        <v>20155098.081316374</v>
      </c>
      <c r="Y7" s="3">
        <f>$D7-(X7-$W7)-coord!$E$2</f>
        <v>-4.2907208912074566</v>
      </c>
      <c r="Z7" s="3"/>
      <c r="AB7">
        <f>-(T7*1000-coord!$B$2)/$X7</f>
        <v>-0.5613841214279105</v>
      </c>
      <c r="AC7">
        <f>-(U7*1000-coord!$C$2)/$X7</f>
        <v>-0.13127389287139038</v>
      </c>
      <c r="AD7">
        <f>-(V7*1000-coord!$D$2)/$X7</f>
        <v>-0.81707714508759555</v>
      </c>
      <c r="AE7">
        <v>1</v>
      </c>
      <c r="BD7">
        <f>SQRT(($T7*1000+coord!$B$7*$R7*$U7*1000-coord!$B$2-BA$2)^2+($U7*1000-coord!$B$7*$R7*$T7*1000-coord!$C$2-BA$3)^2+($V7*1000-coord!$D$2-BA$4)^2)</f>
        <v>20155088.431502953</v>
      </c>
      <c r="BE7" s="3">
        <f>$D7-(BD7-$W7)-(coord!$E$2+BA$5)</f>
        <v>3.9133949308009619E-2</v>
      </c>
      <c r="BF7" s="3"/>
      <c r="BG7" s="1"/>
      <c r="BH7" s="1"/>
      <c r="BI7" s="1"/>
      <c r="CG7" s="1"/>
      <c r="CH7" s="1"/>
      <c r="CI7" s="1"/>
    </row>
    <row r="8" spans="1:111">
      <c r="A8">
        <v>0</v>
      </c>
      <c r="B8">
        <f t="shared" si="0"/>
        <v>0.25</v>
      </c>
      <c r="C8">
        <v>7</v>
      </c>
      <c r="D8">
        <f>tetto!D8*coord!$B$13-tetto!G8*coord!$B$14</f>
        <v>22241401.541256338</v>
      </c>
      <c r="E8" s="5">
        <f>90-DEGREES(ACOS((coord!$B$2*($T8*1000-coord!$B$2)+coord!$C$2*($U8*1000-coord!$C$2)+coord!$D$2*($V8*1000-coord!$D$2))/(SQRT(coord!$B$2^2+coord!$C$2^2+coord!$D$2^2)*SQRT(($T8*1000-coord!$B$2)^2+($U8*1000-coord!$C$2)^2+($V8*1000-coord!$D$2)^2))))</f>
        <v>38.190182347635634</v>
      </c>
      <c r="F8">
        <f>(coord!$C$2*($V8*1000-coord!$D$2)-coord!$D$2*($U8*1000-coord!$C$2))/(SQRT(coord!$B$2^2+coord!$C$2^2+coord!$D$2^2)*SQRT(($T8*1000-coord!$B$2)^2+($U8*1000-coord!$C$2)^2+($V8*1000-coord!$D$2)^2))</f>
        <v>-0.18841532085762477</v>
      </c>
      <c r="G8">
        <f>(-coord!$B$2*($V8*1000-coord!$D$2)+coord!$D$2*($T8*1000-coord!$B$2))/(SQRT(coord!$B$2^2+coord!$C$2^2+coord!$D$2^2)*SQRT(($T8*1000-coord!$B$2)^2+($U8*1000-coord!$C$2)^2+($V8*1000-coord!$D$2)^2))</f>
        <v>0.76256802314266958</v>
      </c>
      <c r="H8">
        <f>(coord!$B$2*($U8*1000-coord!$C$2)-coord!$C$2*($T8*1000-coord!$B$2))/(SQRT(coord!$B$2^2+coord!$C$2^2+coord!$D$2^2)*SQRT(($T8*1000-coord!$B$2)^2+($U8*1000-coord!$C$2)^2+($V8*1000-coord!$D$2)^2))</f>
        <v>2.6967989476577761E-2</v>
      </c>
      <c r="I8">
        <f t="shared" si="5"/>
        <v>3.8287606026091936E-2</v>
      </c>
      <c r="J8">
        <f t="shared" si="6"/>
        <v>0.7850297057561676</v>
      </c>
      <c r="K8">
        <f t="shared" si="7"/>
        <v>1.2575844010422055E-4</v>
      </c>
      <c r="L8">
        <f t="shared" si="4"/>
        <v>177.20777280434518</v>
      </c>
      <c r="M8" s="5">
        <f>'sv07'!$AA$3+'sv07'!$Z$3*($B8)+'sv07'!$Y$3*($B8)^2+'sv07'!$X$3*($B8)^3+'sv07'!$W$3*($B8)^4+'sv07'!$V$3*($B8)^5+'sv07'!$U$3*($B8)^6+'sv07'!$T$3*($B8)^7+'sv07'!$S$3*($B8)^8</f>
        <v>25818.579175994972</v>
      </c>
      <c r="N8" s="5">
        <f>'sv07'!$AA$4+'sv07'!$Z$4*($B8)+'sv07'!$Y$4*($B8)^2+'sv07'!$X$4*($B8)^3+'sv07'!$W$4*($B8)^4+'sv07'!$V$4*($B8)^5+'sv07'!$U$4*($B8)^6+'sv07'!$T$4*($B8)^7+'sv07'!$S$4*($B8)^8</f>
        <v>6309.3533620518174</v>
      </c>
      <c r="O8" s="5">
        <f>'sv07'!$AA$5+'sv07'!$Z$5*($B8)+'sv07'!$Y$5*($B8)^2+'sv07'!$X$5*($B8)^3+'sv07'!$W$5*($B8)^4+'sv07'!$V$5*($B8)^5+'sv07'!$U$5*($B8)^6+'sv07'!$T$5*($B8)^7+'sv07'!$S$5*($B8)^8</f>
        <v>1981.5477578144387</v>
      </c>
      <c r="P8" s="5">
        <f>'sv07'!$AA$6+'sv07'!$Z$6*$B8+'sv07'!$Y$6*$B8^2+'sv07'!$X$6*$B8^3+'sv07'!$W$6*$B8^4+'sv07'!$V$6*$B8^5+'sv07'!$U$6*$B8^6+'sv07'!$T$6*$B8^7+'sv07'!$S$6*$B8^8</f>
        <v>-0.63755552724674713</v>
      </c>
      <c r="R8">
        <f>SQRT(($M8*1000-coord!$B$2)^2+($N8*1000-coord!$C$2)^2+($O8*1000-coord!$D$2)^2)/coord!$B$6</f>
        <v>7.418855607920366E-2</v>
      </c>
      <c r="S8">
        <v>7</v>
      </c>
      <c r="T8" s="5">
        <f>'sv07'!$AA$3+'sv07'!$Z$3*($B8-$R8/3600)+'sv07'!$Y$3*($B8-$R8/3600)^2+'sv07'!$X$3*($B8-$R8/3600)^3+'sv07'!$W$3*($B8-$R8/3600)^4+'sv07'!$V$3*($B8-$R8/3600)^5+'sv07'!$U$3*($B8-$R8/3600)^6+'sv07'!$T$3*($B8-$R8/3600)^7+'sv07'!$S$3*($B8-$R8/3600)^8+N8*coord!$B$7*R8</f>
        <v>25818.63487145066</v>
      </c>
      <c r="U8" s="5">
        <f>'sv07'!$AA$4+'sv07'!$Z$4*($B8-$R8/3600)+'sv07'!$Y$4*($B8-$R8/3600)^2+'sv07'!$X$4*($B8-$R8/3600)^3+'sv07'!$W$4*($B8-$R8/3600)^4+'sv07'!$V$4*($B8-$R8/3600)^5+'sv07'!$U$4*($B8-$R8/3600)^6+'sv07'!$T$4*($B8-$R8/3600)^7+'sv07'!$S$4*($B8-$R8/3600)^8-M8*coord!$B$7*R8</f>
        <v>6309.2002565112225</v>
      </c>
      <c r="V8" s="5">
        <f>'sv07'!$AA$5+'sv07'!$Z$5*($B8-$R8/3600)+'sv07'!$Y$5*($B8-$R8/3600)^2+'sv07'!$X$5*($B8-$R8/3600)^3+'sv07'!$W$5*($B8-$R8/3600)^4+'sv07'!$V$5*($B8-$R8/3600)^5+'sv07'!$U$5*($B8-$R8/3600)^6+'sv07'!$T$5*($B8-$R8/3600)^7+'sv07'!$S$5*($B8-$R8/3600)^8</f>
        <v>1981.3121863479812</v>
      </c>
      <c r="W8">
        <f>coord!$B$6*P8/10^6</f>
        <v>-191.13433862478828</v>
      </c>
      <c r="X8">
        <f>SQRT(($T8*1000+coord!$B$7*$R8*$U8*1000-coord!$B$2)^2+($U8*1000-coord!$B$7*$R8*$T8*1000-coord!$C$2)^2+($V8*1000-coord!$D$2)^2)</f>
        <v>22241212.133087076</v>
      </c>
      <c r="Y8" s="3">
        <f>$D8-(X8-$W8)-coord!$E$2</f>
        <v>-1.7261693626642227</v>
      </c>
      <c r="Z8" s="3"/>
      <c r="AA8" s="1" t="s">
        <v>128</v>
      </c>
      <c r="AB8">
        <f>-(T8*1000-coord!$B$2)/$X8</f>
        <v>-0.96351568306705471</v>
      </c>
      <c r="AC8">
        <f>-(U8*1000-coord!$C$2)/$X8</f>
        <v>-0.24210146511308134</v>
      </c>
      <c r="AD8">
        <f>-(V8*1000-coord!$D$2)/$X8</f>
        <v>0.11412489898317904</v>
      </c>
      <c r="AE8">
        <v>1</v>
      </c>
      <c r="BD8">
        <f>SQRT(($T8*1000+coord!$B$7*$R8*$U8*1000-coord!$B$2-BA$2)^2+($U8*1000-coord!$B$7*$R8*$T8*1000-coord!$C$2-BA$3)^2+($V8*1000-coord!$D$2-BA$4)^2)</f>
        <v>22241209.850015927</v>
      </c>
      <c r="BE8" s="3">
        <f>$D8-(BD8-$W8)-(coord!$E$2+BA$5)</f>
        <v>-4.7630567940787358</v>
      </c>
      <c r="BF8" s="3"/>
      <c r="BG8" s="1" t="s">
        <v>128</v>
      </c>
      <c r="BH8" s="1"/>
      <c r="BI8" s="1"/>
      <c r="CG8" s="1"/>
      <c r="CH8" s="1"/>
      <c r="CI8" s="1"/>
    </row>
    <row r="9" spans="1:111">
      <c r="Y9" s="3"/>
      <c r="Z9" s="3">
        <f>AVERAGE($Y2:$Y8)</f>
        <v>-3.621574073497738</v>
      </c>
      <c r="AA9" s="1">
        <f>SQRT(DEVSQ($Y2:$Y8)/6)</f>
        <v>14.640913252048003</v>
      </c>
      <c r="BF9" s="3">
        <f>AVERAGE($BE2:$BE8)</f>
        <v>6.6201970532071239E-5</v>
      </c>
      <c r="BG9" s="1">
        <f>SQRT(DEVSQ($BE2:$BE8)/6)</f>
        <v>3.7730317793552763</v>
      </c>
      <c r="BH9" s="1"/>
      <c r="BI9" s="1"/>
      <c r="CG9" s="1"/>
      <c r="CH9" s="1"/>
      <c r="CI9" s="1"/>
    </row>
    <row r="10" spans="1:111">
      <c r="A10">
        <v>2</v>
      </c>
      <c r="B10">
        <f>(60-45)/60+30*A10/3600</f>
        <v>0.26666666666666666</v>
      </c>
      <c r="C10">
        <v>2</v>
      </c>
      <c r="D10">
        <f>tetto!D10*coord!$B$13-tetto!G10*coord!$B$14</f>
        <v>22903046.65097037</v>
      </c>
      <c r="E10" s="5">
        <f>90-DEGREES(ACOS((coord!$B$2*($T10*1000-coord!$B$2)+coord!$C$2*($U10*1000-coord!$C$2)+coord!$D$2*($V10*1000-coord!$D$2))/(SQRT(coord!$B$2^2+coord!$C$2^2+coord!$D$2^2)*SQRT(($T10*1000-coord!$B$2)^2+($U10*1000-coord!$C$2)^2+($V10*1000-coord!$D$2)^2))))</f>
        <v>27.249658304555723</v>
      </c>
      <c r="F10">
        <f>(coord!$C$2*($V10*1000-coord!$D$2)-coord!$D$2*($U10*1000-coord!$C$2))/(SQRT(coord!$B$2^2+coord!$C$2^2+coord!$D$2^2)*SQRT(($T10*1000-coord!$B$2)^2+($U10*1000-coord!$C$2)^2+($V10*1000-coord!$D$2)^2))</f>
        <v>0.59060567087432636</v>
      </c>
      <c r="G10">
        <f>(-coord!$B$2*($V10*1000-coord!$D$2)+coord!$D$2*($T10*1000-coord!$B$2))/(SQRT(coord!$B$2^2+coord!$C$2^2+coord!$D$2^2)*SQRT(($T10*1000-coord!$B$2)^2+($U10*1000-coord!$C$2)^2+($V10*1000-coord!$D$2)^2))</f>
        <v>-0.46013118238014905</v>
      </c>
      <c r="H10">
        <f>(coord!$B$2*($U10*1000-coord!$C$2)-coord!$C$2*($T10*1000-coord!$B$2))/(SQRT(coord!$B$2^2+coord!$C$2^2+coord!$D$2^2)*SQRT(($T10*1000-coord!$B$2)^2+($U10*1000-coord!$C$2)^2+($V10*1000-coord!$D$2)^2))</f>
        <v>-0.4793960466218386</v>
      </c>
      <c r="I10">
        <f t="shared" si="5"/>
        <v>-0.68057008349854575</v>
      </c>
      <c r="J10">
        <f t="shared" si="6"/>
        <v>-0.57199255126673165</v>
      </c>
      <c r="K10">
        <f t="shared" si="7"/>
        <v>-2.2837964605350036E-3</v>
      </c>
      <c r="L10">
        <f t="shared" ref="L10:L16" si="8">90+DEGREES(ATAN2(I10,J10))</f>
        <v>-49.954261033118485</v>
      </c>
      <c r="M10" s="5">
        <f>'sv02'!$AA$3+'sv02'!$Z$3*($B10)+'sv02'!$Y$3*($B10)^2+'sv02'!$X$3*($B10)^3+'sv02'!$W$3*($B10)^4+'sv02'!$V$3*($B10)^5+'sv02'!$U$3*($B10)^6+'sv02'!$T$3*($B10)^7+'sv02'!$S$3*($B10)^8</f>
        <v>5735.924261993885</v>
      </c>
      <c r="N10" s="5">
        <f>'sv02'!$AA$4+'sv02'!$Z$4*($B10)+'sv02'!$Y$4*($B10)^2+'sv02'!$X$4*($B10)^3+'sv02'!$W$4*($B10)^4+'sv02'!$V$4*($B10)^5+'sv02'!$U$4*($B10)^6+'sv02'!$T$4*($B10)^7+'sv02'!$S$4*($B10)^8</f>
        <v>-14774.641190552473</v>
      </c>
      <c r="O10" s="5">
        <f>'sv02'!$AA$5+'sv02'!$Z$5*($B10)+'sv02'!$Y$5*($B10)^2+'sv02'!$X$5*($B10)^3+'sv02'!$W$5*($B10)^4+'sv02'!$V$5*($B10)^5+'sv02'!$U$5*($B10)^6+'sv02'!$T$5*($B10)^7+'sv02'!$S$5*($B10)^8</f>
        <v>21247.131007940668</v>
      </c>
      <c r="P10" s="5">
        <f>'sv02'!$AA$6+'sv02'!$Z$6*$B10+'sv02'!$Y$6*$B10^2+'sv02'!$X$6*$B10^3+'sv02'!$W$6*$B10^4+'sv02'!$V$6*$B10^5+'sv02'!$U$6*$B10^6+'sv02'!$T$6*$B10^7+'sv02'!$S$6*$B10^8</f>
        <v>257.58997063193192</v>
      </c>
      <c r="R10">
        <f>SQRT(($M10*1000-coord!$B$2)^2+($N10*1000-coord!$C$2)^2+($O10*1000-coord!$D$2)^2)/coord!$B$6</f>
        <v>7.6653759036806504E-2</v>
      </c>
      <c r="T10" s="5">
        <f>'sv02'!$AA$3+'sv02'!$Z$3*($B10-$R10/3600)+'sv02'!$Y$3*($B10-$R10/3600)^2+'sv02'!$X$3*($B10-$R10/3600)^3+'sv02'!$W$3*($B10-$R10/3600)^4+'sv02'!$V$3*($B10-$R10/3600)^5+'sv02'!$U$3*($B10-$R10/3600)^6+'sv02'!$T$3*($B10-$R10/3600)^7+'sv02'!$S$3*($B10-$R10/3600)^8+N10*coord!$B$7*R10</f>
        <v>5735.6370988746621</v>
      </c>
      <c r="U10" s="5">
        <f>'sv02'!$AA$4+'sv02'!$Z$4*($B10-$R10/3600)+'sv02'!$Y$4*($B10-$R10/3600)^2+'sv02'!$X$4*($B10-$R10/3600)^3+'sv02'!$W$4*($B10-$R10/3600)^4+'sv02'!$V$4*($B10-$R10/3600)^5+'sv02'!$U$4*($B10-$R10/3600)^6+'sv02'!$T$4*($B10-$R10/3600)^7+'sv02'!$S$4*($B10-$R10/3600)^8-M10*coord!$B$7*R10</f>
        <v>-14774.712416252982</v>
      </c>
      <c r="V10" s="5">
        <f>'sv02'!$AA$5+'sv02'!$Z$5*($B10-$R10/3600)+'sv02'!$Y$5*($B10-$R10/3600)^2+'sv02'!$X$5*($B10-$R10/3600)^3+'sv02'!$W$5*($B10-$R10/3600)^4+'sv02'!$V$5*($B10-$R10/3600)^5+'sv02'!$U$5*($B10-$R10/3600)^6+'sv02'!$T$5*($B10-$R10/3600)^7+'sv02'!$S$5*($B10-$R10/3600)^8</f>
        <v>21247.162470083018</v>
      </c>
      <c r="W10">
        <f>coord!$B$6*P10/10^6</f>
        <v>77223.53045189468</v>
      </c>
      <c r="X10">
        <f>SQRT(($T10*1000+coord!$B$7*$R10*$U10*1000-coord!$B$2)^2+($U10*1000-coord!$B$7*$R10*$T10*1000-coord!$C$2)^2+($V10*1000-coord!$D$2)^2)</f>
        <v>22980290.628629819</v>
      </c>
      <c r="Y10" s="3">
        <f>$D10-(X10-$W10)-coord!$E$2</f>
        <v>-20.447207555174828</v>
      </c>
      <c r="Z10" s="3"/>
      <c r="AB10">
        <f>-(T10*1000-coord!$B$2)/$X10</f>
        <v>-5.8604956300979602E-2</v>
      </c>
      <c r="AC10">
        <f>-(U10*1000-coord!$C$2)/$X10</f>
        <v>0.68316292788282451</v>
      </c>
      <c r="AD10">
        <f>-(V10*1000-coord!$D$2)/$X10</f>
        <v>-0.72790960158454643</v>
      </c>
      <c r="AE10">
        <v>1</v>
      </c>
      <c r="AG10">
        <f t="array" ref="AG10:AM13">TRANSPOSE(AB10:AE16)</f>
        <v>-5.8604956300979602E-2</v>
      </c>
      <c r="AH10">
        <v>-0.25449357358547414</v>
      </c>
      <c r="AI10">
        <v>-0.1236925294594588</v>
      </c>
      <c r="AJ10">
        <v>-0.77024459064554818</v>
      </c>
      <c r="AK10">
        <v>-0.43133274434805507</v>
      </c>
      <c r="AL10">
        <v>-0.55577714960640312</v>
      </c>
      <c r="AM10">
        <v>-0.96425268113261453</v>
      </c>
      <c r="AO10">
        <f t="array" ref="AO10:AR13">MMULT(AG10:AM13,AB10:AE16)</f>
        <v>2.1014975006050305</v>
      </c>
      <c r="AP10">
        <v>0.38089435609348765</v>
      </c>
      <c r="AQ10">
        <v>1.1165952925919755</v>
      </c>
      <c r="AR10">
        <v>-3.1583982250785332</v>
      </c>
      <c r="AT10">
        <f t="array" ref="AT10:AW13">MINVERSE(AO10:AR13)</f>
        <v>2.4483606741994115</v>
      </c>
      <c r="AU10">
        <v>-0.17358043872621134</v>
      </c>
      <c r="AV10">
        <v>1.3089922800931748</v>
      </c>
      <c r="AW10">
        <v>1.754282472035068</v>
      </c>
      <c r="AY10">
        <f t="array" ref="AY10:AY13">MMULT(AG10:AM13,Y10:Y16)</f>
        <v>2.3447322881505621</v>
      </c>
      <c r="BA10">
        <f t="array" ref="BA10:BA13">MMULT(AT10:AW13,AY10:AY13)</f>
        <v>9.6689172791703868</v>
      </c>
      <c r="BD10">
        <f>SQRT(($T10*1000+coord!$B$7*$R10*$U10*1000-coord!$B$2-BA$10)^2+($U10*1000-coord!$B$7*$R10*$T10*1000-coord!$C$2-BA$11)^2+($V10*1000-coord!$D$2-BA$12)^2)</f>
        <v>22980267.698704738</v>
      </c>
      <c r="BE10" s="3">
        <f>$D10-(BD10-$W10)-BA$13</f>
        <v>-4.2576433566086038</v>
      </c>
      <c r="BG10" s="1">
        <f>coord!$B$2+$BA10</f>
        <v>4388887.8397172792</v>
      </c>
      <c r="BH10" s="1">
        <f>coord!$C$2+$BA11</f>
        <v>924548.52410020202</v>
      </c>
      <c r="BI10" s="1">
        <f>coord!$D$2+$BA12</f>
        <v>4519598.6411056062</v>
      </c>
      <c r="BJ10" s="1">
        <f>coord!$E$2+$BA13</f>
        <v>6.7403608818225607</v>
      </c>
      <c r="BK10" s="8">
        <f>lat($BG10,$BH10,$BI10)</f>
        <v>45.411204779482823</v>
      </c>
      <c r="BL10" s="8">
        <f>lon($BG10,$BH10,$BI10)</f>
        <v>11.895809956575738</v>
      </c>
      <c r="BM10" s="6">
        <f>h($BG10,$BH10,$BI10)</f>
        <v>73.007353777997196</v>
      </c>
      <c r="BO10">
        <f>grado($BK10)</f>
        <v>45</v>
      </c>
      <c r="BP10">
        <f>MINUTOprimo($BK10)</f>
        <v>24</v>
      </c>
      <c r="BQ10">
        <f>MINUTOsecondo($BK10)</f>
        <v>40.337206138162287</v>
      </c>
      <c r="BR10">
        <f>grado($BL10)</f>
        <v>11</v>
      </c>
      <c r="BS10">
        <f>MINUTOprimo($BL10)</f>
        <v>53</v>
      </c>
      <c r="BT10">
        <f>MINUTOsecondo($BL10)</f>
        <v>44.915843672655313</v>
      </c>
      <c r="BV10">
        <f>-SIN(RADIANS(BK10))*COS(RADIANS(BL10))</f>
        <v>-0.69686896992396063</v>
      </c>
      <c r="BW10">
        <f>-SIN(RADIANS(BL10))</f>
        <v>-0.20613262643081848</v>
      </c>
      <c r="BX10">
        <f>COS(RADIANS(BK10))*COS(RADIANS(BL10))</f>
        <v>0.68693739094465567</v>
      </c>
      <c r="BZ10" t="s">
        <v>93</v>
      </c>
      <c r="CA10">
        <f t="array" ref="CA10:CC12">MINVERSE(BV10:BX12)</f>
        <v>-0.69686896992396052</v>
      </c>
      <c r="CB10">
        <v>-0.14680010088293477</v>
      </c>
      <c r="CC10">
        <v>0.70201379554669596</v>
      </c>
      <c r="CD10">
        <v>0</v>
      </c>
      <c r="CE10" s="1">
        <f t="array" ref="CE10:CE12">MMULT(CA10:CC12,BA10:BA12)</f>
        <v>3.7236341654895004</v>
      </c>
      <c r="CG10" s="1">
        <f t="array" ref="CG10:CI10">TRANSPOSE(CE10:CE12)</f>
        <v>3.7236341654895004</v>
      </c>
      <c r="CH10" s="1">
        <v>-23.216385353426119</v>
      </c>
      <c r="CI10" s="1">
        <v>10.886214659291269</v>
      </c>
      <c r="CK10">
        <f t="array" ref="CK10:CN13">MMULT(CA10:CD13,AT10:AW13)</f>
        <v>-0.76177431622583114</v>
      </c>
      <c r="CL10">
        <v>0.19345055684169088</v>
      </c>
      <c r="CM10">
        <v>0.59582385608129229</v>
      </c>
      <c r="CN10">
        <v>-5.2247848970062849E-2</v>
      </c>
      <c r="CP10">
        <f t="array" ref="CP10:CS13">TRANSPOSE(CA10:CD13)</f>
        <v>-0.69686896992396052</v>
      </c>
      <c r="CQ10">
        <v>-0.20613262643081848</v>
      </c>
      <c r="CR10">
        <v>0.68693739094465567</v>
      </c>
      <c r="CS10">
        <v>0</v>
      </c>
      <c r="CU10" s="5">
        <f t="array" ref="CU10:CX13">MMULT(CK10:CN13,CP10:CS13)</f>
        <v>0.92073488848750051</v>
      </c>
      <c r="CV10" s="5">
        <v>0.34632256526837024</v>
      </c>
      <c r="CW10" s="5">
        <v>-7.0973517505606543E-2</v>
      </c>
      <c r="CX10" s="5">
        <v>-5.2247848970062849E-2</v>
      </c>
      <c r="CZ10" s="3">
        <f>SQRT(CU10+CV11)</f>
        <v>1.2486035938703635</v>
      </c>
      <c r="DA10" s="3">
        <f>CW12</f>
        <v>3.565096262884305</v>
      </c>
      <c r="DB10" s="3">
        <f>CX13</f>
        <v>1.7595618299647511</v>
      </c>
      <c r="DC10" s="3">
        <f>BG17</f>
        <v>3.8438237098193833</v>
      </c>
      <c r="DD10">
        <v>6</v>
      </c>
      <c r="DE10" s="6">
        <f>DB10*DD10*DC10</f>
        <v>40.580672885470157</v>
      </c>
      <c r="DF10">
        <v>5.33</v>
      </c>
      <c r="DG10" s="6">
        <f>DC10*DF10*SQRT(0.5*(CU10+CV11)+SQRT((0.5*(CU10-CV11))^2+CV10^2))</f>
        <v>22.004058010921369</v>
      </c>
    </row>
    <row r="11" spans="1:111">
      <c r="A11">
        <v>2</v>
      </c>
      <c r="B11">
        <f t="shared" ref="B11:B16" si="9">(60-45)/60+30*A11/3600</f>
        <v>0.26666666666666666</v>
      </c>
      <c r="C11">
        <v>23</v>
      </c>
      <c r="D11">
        <f>tetto!D11*coord!$B$13-tetto!G11*coord!$B$14</f>
        <v>20873104.925474457</v>
      </c>
      <c r="E11" s="5">
        <f>90-DEGREES(ACOS((coord!$B$2*($T11*1000-coord!$B$2)+coord!$C$2*($U11*1000-coord!$C$2)+coord!$D$2*($V11*1000-coord!$D$2))/(SQRT(coord!$B$2^2+coord!$C$2^2+coord!$D$2^2)*SQRT(($T11*1000-coord!$B$2)^2+($U11*1000-coord!$C$2)^2+($V11*1000-coord!$D$2)^2))))</f>
        <v>56.349512390516608</v>
      </c>
      <c r="F11">
        <f>(coord!$C$2*($V11*1000-coord!$D$2)-coord!$D$2*($U11*1000-coord!$C$2))/(SQRT(coord!$B$2^2+coord!$C$2^2+coord!$D$2^2)*SQRT(($T11*1000-coord!$B$2)^2+($U11*1000-coord!$C$2)^2+($V11*1000-coord!$D$2)^2))</f>
        <v>-0.24337955771339967</v>
      </c>
      <c r="G11">
        <f>(-coord!$B$2*($V11*1000-coord!$D$2)+coord!$D$2*($T11*1000-coord!$B$2))/(SQRT(coord!$B$2^2+coord!$C$2^2+coord!$D$2^2)*SQRT(($T11*1000-coord!$B$2)^2+($U11*1000-coord!$C$2)^2+($V11*1000-coord!$D$2)^2))</f>
        <v>-0.38534265524196198</v>
      </c>
      <c r="H11">
        <f>(coord!$B$2*($U11*1000-coord!$C$2)-coord!$C$2*($T11*1000-coord!$B$2))/(SQRT(coord!$B$2^2+coord!$C$2^2+coord!$D$2^2)*SQRT(($T11*1000-coord!$B$2)^2+($U11*1000-coord!$C$2)^2+($V11*1000-coord!$D$2)^2))</f>
        <v>0.31517020633921194</v>
      </c>
      <c r="I11">
        <f t="shared" si="5"/>
        <v>0.44742584457112577</v>
      </c>
      <c r="J11">
        <f t="shared" si="6"/>
        <v>-0.3268985801358284</v>
      </c>
      <c r="K11">
        <f t="shared" si="7"/>
        <v>1.5039749303753513E-3</v>
      </c>
      <c r="L11">
        <f t="shared" si="8"/>
        <v>53.847362878991731</v>
      </c>
      <c r="M11" s="5">
        <f>'sv23'!$AA$3+'sv23'!$Z$3*($B11)+'sv23'!$Y$3*($B11)^2+'sv23'!$X$3*($B11)^3+'sv23'!$W$3*($B11)^4+'sv23'!$V$3*($B11)^5+'sv23'!$U$3*($B11)^6+'sv23'!$T$3*($B11)^7+'sv23'!$S$3*($B11)^8</f>
        <v>9728.9934732244856</v>
      </c>
      <c r="N11" s="5">
        <f>'sv23'!$AA$4+'sv23'!$Z$4*($B11)+'sv23'!$Y$4*($B11)^2+'sv23'!$X$4*($B11)^3+'sv23'!$W$4*($B11)^4+'sv23'!$V$4*($B11)^5+'sv23'!$U$4*($B11)^6+'sv23'!$T$4*($B11)^7+'sv23'!$S$4*($B11)^8</f>
        <v>11644.719882583255</v>
      </c>
      <c r="O11" s="5">
        <f>'sv23'!$AA$5+'sv23'!$Z$5*($B11)+'sv23'!$Y$5*($B11)^2+'sv23'!$X$5*($B11)^3+'sv23'!$W$5*($B11)^4+'sv23'!$V$5*($B11)^5+'sv23'!$U$5*($B11)^6+'sv23'!$T$5*($B11)^7+'sv23'!$S$5*($B11)^8</f>
        <v>21750.181893967827</v>
      </c>
      <c r="P11" s="5">
        <f>'sv23'!$AA$6+'sv23'!$Z$6*$B11+'sv23'!$Y$6*$B11^2+'sv23'!$X$6*$B11^3+'sv23'!$W$6*$B11^4+'sv23'!$V$6*$B11^5+'sv23'!$U$6*$B11^6+'sv23'!$T$6*$B11^7+'sv23'!$S$6*$B11^8</f>
        <v>370.05758675313905</v>
      </c>
      <c r="R11">
        <f>SQRT(($M11*1000-coord!$B$2)^2+($N11*1000-coord!$C$2)^2+($O11*1000-coord!$D$2)^2)/coord!$B$6</f>
        <v>6.9995371165681053E-2</v>
      </c>
      <c r="T11" s="5">
        <f>'sv23'!$AA$3+'sv23'!$Z$3*($B11-$R11/3600)+'sv23'!$Y$3*($B11-$R11/3600)^2+'sv23'!$X$3*($B11-$R11/3600)^3+'sv23'!$W$3*($B11-$R11/3600)^4+'sv23'!$V$3*($B11-$R11/3600)^5+'sv23'!$U$3*($B11-$R11/3600)^6+'sv23'!$T$3*($B11-$R11/3600)^7+'sv23'!$S$3*($B11-$R11/3600)^8+N11*coord!$B$7*R11</f>
        <v>9729.1817017943758</v>
      </c>
      <c r="U11" s="5">
        <f>'sv23'!$AA$4+'sv23'!$Z$4*($B11-$R11/3600)+'sv23'!$Y$4*($B11-$R11/3600)^2+'sv23'!$X$4*($B11-$R11/3600)^3+'sv23'!$W$4*($B11-$R11/3600)^4+'sv23'!$V$4*($B11-$R11/3600)^5+'sv23'!$U$4*($B11-$R11/3600)^6+'sv23'!$T$4*($B11-$R11/3600)^7+'sv23'!$S$4*($B11-$R11/3600)^8-M11*coord!$B$7*R11</f>
        <v>11644.525392180552</v>
      </c>
      <c r="V11" s="5">
        <f>'sv23'!$AA$5+'sv23'!$Z$5*($B11-$R11/3600)+'sv23'!$Y$5*($B11-$R11/3600)^2+'sv23'!$X$5*($B11-$R11/3600)^3+'sv23'!$W$5*($B11-$R11/3600)^4+'sv23'!$V$5*($B11-$R11/3600)^5+'sv23'!$U$5*($B11-$R11/3600)^6+'sv23'!$T$5*($B11-$R11/3600)^7+'sv23'!$S$5*($B11-$R11/3600)^8</f>
        <v>21750.203970020535</v>
      </c>
      <c r="W11">
        <f>coord!$B$6*P11/10^6</f>
        <v>110940.47353427179</v>
      </c>
      <c r="X11">
        <f>SQRT(($T11*1000+coord!$B$7*$R11*$U11*1000-coord!$B$2)^2+($U11*1000-coord!$B$7*$R11*$T11*1000-coord!$C$2)^2+($V11*1000-coord!$D$2)^2)</f>
        <v>20984040.798188496</v>
      </c>
      <c r="Y11" s="3">
        <f>$D11-(X11-$W11)-coord!$E$2</f>
        <v>4.6008202321827412</v>
      </c>
      <c r="Z11" s="3"/>
      <c r="AB11">
        <f>-(T11*1000-coord!$B$2)/$X11</f>
        <v>-0.25449357358547414</v>
      </c>
      <c r="AC11">
        <f>-(U11*1000-coord!$C$2)/$X11</f>
        <v>-0.5108622920665491</v>
      </c>
      <c r="AD11">
        <f>-(V11*1000-coord!$D$2)/$X11</f>
        <v>-0.82112953655751653</v>
      </c>
      <c r="AE11">
        <v>1</v>
      </c>
      <c r="AG11">
        <v>0.68316292788282451</v>
      </c>
      <c r="AH11">
        <v>-0.5108622920665491</v>
      </c>
      <c r="AI11">
        <v>0.81426689793275397</v>
      </c>
      <c r="AJ11">
        <v>0.39474136076236105</v>
      </c>
      <c r="AK11">
        <v>-0.89305850673858245</v>
      </c>
      <c r="AL11">
        <v>-0.13708752211196629</v>
      </c>
      <c r="AM11">
        <v>-0.24297631225249758</v>
      </c>
      <c r="AO11">
        <v>0.38089435609348765</v>
      </c>
      <c r="AP11">
        <v>2.4219271639472408</v>
      </c>
      <c r="AQ11">
        <v>-0.53625782812644973</v>
      </c>
      <c r="AR11">
        <v>0.10818655340834418</v>
      </c>
      <c r="AT11">
        <v>-0.17358043872621115</v>
      </c>
      <c r="AU11">
        <v>0.48481954845948527</v>
      </c>
      <c r="AV11">
        <v>0.20463884733148727</v>
      </c>
      <c r="AW11">
        <v>1.5319456812808106E-2</v>
      </c>
      <c r="AY11">
        <v>-53.676648187802236</v>
      </c>
      <c r="BA11">
        <v>-21.689099797945961</v>
      </c>
      <c r="BD11">
        <f>SQRT(($T11*1000+coord!$B$7*$R11*$U11*1000-coord!$B$2-BA$10)^2+($U11*1000-coord!$B$7*$R11*$T11*1000-coord!$C$2-BA$11)^2+($V11*1000-coord!$D$2-BA$12)^2)</f>
        <v>20984040.905101422</v>
      </c>
      <c r="BE11" s="3">
        <f t="shared" ref="BE11:BE16" si="10">$D11-(BD11-$W11)-BA$13</f>
        <v>-2.2464535754792436</v>
      </c>
      <c r="BG11" s="1"/>
      <c r="BH11" s="1"/>
      <c r="BI11" s="1"/>
      <c r="BV11">
        <f>-SIN(RADIANS(BK10))*SIN(RADIANS(BL10))</f>
        <v>-0.14680010088293474</v>
      </c>
      <c r="BW11">
        <f>COS(RADIANS(BL10))</f>
        <v>0.97852406220835098</v>
      </c>
      <c r="BX11">
        <f>COS(RADIANS(BK10))*SIN(RADIANS(BL10))</f>
        <v>0.14470794746670806</v>
      </c>
      <c r="BZ11" t="s">
        <v>94</v>
      </c>
      <c r="CA11">
        <v>-0.20613262643081848</v>
      </c>
      <c r="CB11">
        <v>0.97852406220835086</v>
      </c>
      <c r="CC11">
        <v>0</v>
      </c>
      <c r="CD11">
        <v>0</v>
      </c>
      <c r="CE11" s="1">
        <v>-23.216385353426119</v>
      </c>
      <c r="CG11" s="1"/>
      <c r="CH11" s="1"/>
      <c r="CI11" s="1"/>
      <c r="CK11">
        <v>-0.67453965224493395</v>
      </c>
      <c r="CL11">
        <v>0.51018818572824165</v>
      </c>
      <c r="CM11">
        <v>-6.9581980496830259E-2</v>
      </c>
      <c r="CN11">
        <v>-0.34662439635084308</v>
      </c>
      <c r="CP11">
        <v>-0.14680010088293477</v>
      </c>
      <c r="CQ11">
        <v>0.97852406220835086</v>
      </c>
      <c r="CR11">
        <v>0.14470794746670806</v>
      </c>
      <c r="CS11">
        <v>0</v>
      </c>
      <c r="CU11" s="5">
        <v>0.34632256526837035</v>
      </c>
      <c r="CV11" s="5">
        <v>0.63827604613848676</v>
      </c>
      <c r="CW11" s="5">
        <v>-0.4390919596496935</v>
      </c>
      <c r="CX11" s="5">
        <v>-0.34662439635084308</v>
      </c>
    </row>
    <row r="12" spans="1:111">
      <c r="A12">
        <v>2</v>
      </c>
      <c r="B12">
        <f t="shared" si="9"/>
        <v>0.26666666666666666</v>
      </c>
      <c r="C12">
        <v>10</v>
      </c>
      <c r="D12">
        <f>tetto!D12*coord!$B$13-tetto!G12*coord!$B$14</f>
        <v>23312310.695527695</v>
      </c>
      <c r="E12" s="5">
        <f>90-DEGREES(ACOS((coord!$B$2*($T12*1000-coord!$B$2)+coord!$C$2*($U12*1000-coord!$C$2)+coord!$D$2*($V12*1000-coord!$D$2))/(SQRT(coord!$B$2^2+coord!$C$2^2+coord!$D$2^2)*SQRT(($T12*1000-coord!$B$2)^2+($U12*1000-coord!$C$2)^2+($V12*1000-coord!$D$2)^2))))</f>
        <v>21.690517065361291</v>
      </c>
      <c r="F12">
        <f>(coord!$C$2*($V12*1000-coord!$D$2)-coord!$D$2*($U12*1000-coord!$C$2))/(SQRT(coord!$B$2^2+coord!$C$2^2+coord!$D$2^2)*SQRT(($T12*1000-coord!$B$2)^2+($U12*1000-coord!$C$2)^2+($V12*1000-coord!$D$2)^2))</f>
        <v>0.66032181730219786</v>
      </c>
      <c r="G12">
        <f>(-coord!$B$2*($V12*1000-coord!$D$2)+coord!$D$2*($T12*1000-coord!$B$2))/(SQRT(coord!$B$2^2+coord!$C$2^2+coord!$D$2^2)*SQRT(($T12*1000-coord!$B$2)^2+($U12*1000-coord!$C$2)^2+($V12*1000-coord!$D$2)^2))</f>
        <v>-0.30312980725099853</v>
      </c>
      <c r="H12">
        <f>(coord!$B$2*($U12*1000-coord!$C$2)-coord!$C$2*($T12*1000-coord!$B$2))/(SQRT(coord!$B$2^2+coord!$C$2^2+coord!$D$2^2)*SQRT(($T12*1000-coord!$B$2)^2+($U12*1000-coord!$C$2)^2+($V12*1000-coord!$D$2)^2))</f>
        <v>-0.57921364962137423</v>
      </c>
      <c r="I12">
        <f t="shared" si="5"/>
        <v>-0.82227425870683901</v>
      </c>
      <c r="J12">
        <f t="shared" si="6"/>
        <v>-0.43273370431292546</v>
      </c>
      <c r="K12">
        <f t="shared" si="7"/>
        <v>-2.7602493997607169E-3</v>
      </c>
      <c r="L12">
        <f t="shared" si="8"/>
        <v>-62.2437632438224</v>
      </c>
      <c r="M12" s="5">
        <f>'sv10'!$AA$3+'sv10'!$Z$3*($B12)+'sv10'!$Y$3*($B12)^2+'sv10'!$X$3*($B12)^3+'sv10'!$W$3*($B12)^4+'sv10'!$V$3*($B12)^5+'sv10'!$U$3*($B12)^6+'sv10'!$T$3*($B12)^7+'sv10'!$S$3*($B12)^8</f>
        <v>7271.0174002585991</v>
      </c>
      <c r="N12" s="5">
        <f>'sv10'!$AA$4+'sv10'!$Z$4*($B12)+'sv10'!$Y$4*($B12)^2+'sv10'!$X$4*($B12)^3+'sv10'!$W$4*($B12)^4+'sv10'!$V$4*($B12)^5+'sv10'!$U$4*($B12)^6+'sv10'!$T$4*($B12)^7+'sv10'!$S$4*($B12)^8</f>
        <v>-18047.18168060491</v>
      </c>
      <c r="O12" s="5">
        <f>'sv10'!$AA$5+'sv10'!$Z$5*($B12)+'sv10'!$Y$5*($B12)^2+'sv10'!$X$5*($B12)^3+'sv10'!$W$5*($B12)^4+'sv10'!$V$5*($B12)^5+'sv10'!$U$5*($B12)^6+'sv10'!$T$5*($B12)^7+'sv10'!$S$5*($B12)^8</f>
        <v>17734.180633219534</v>
      </c>
      <c r="P12" s="5">
        <f>'sv10'!$AA$6+'sv10'!$Z$6*$B12+'sv10'!$Y$6*$B12^2+'sv10'!$X$6*$B12^3+'sv10'!$W$6*$B12^4+'sv10'!$V$6*$B12^5+'sv10'!$U$6*$B12^6+'sv10'!$T$6*$B12^7+'sv10'!$S$6*$B12^8</f>
        <v>-43.000552232956977</v>
      </c>
      <c r="R12">
        <f>SQRT(($M12*1000-coord!$B$2)^2+($N12*1000-coord!$C$2)^2+($O12*1000-coord!$D$2)^2)/coord!$B$6</f>
        <v>7.7718254364390574E-2</v>
      </c>
      <c r="T12" s="5">
        <f>'sv10'!$AA$3+'sv10'!$Z$3*($B12-$R12/3600)+'sv10'!$Y$3*($B12-$R12/3600)^2+'sv10'!$X$3*($B12-$R12/3600)^3+'sv10'!$W$3*($B12-$R12/3600)^4+'sv10'!$V$3*($B12-$R12/3600)^5+'sv10'!$U$3*($B12-$R12/3600)^6+'sv10'!$T$3*($B12-$R12/3600)^7+'sv10'!$S$3*($B12-$R12/3600)^8+N12*coord!$B$7*R12</f>
        <v>7270.8441590021521</v>
      </c>
      <c r="U12" s="5">
        <f>'sv10'!$AA$4+'sv10'!$Z$4*($B12-$R12/3600)+'sv10'!$Y$4*($B12-$R12/3600)^2+'sv10'!$X$4*($B12-$R12/3600)^3+'sv10'!$W$4*($B12-$R12/3600)^4+'sv10'!$V$4*($B12-$R12/3600)^5+'sv10'!$U$4*($B12-$R12/3600)^6+'sv10'!$T$4*($B12-$R12/3600)^7+'sv10'!$S$4*($B12-$R12/3600)^8-M12*coord!$B$7*R12</f>
        <v>-18047.388040190042</v>
      </c>
      <c r="V12" s="5">
        <f>'sv10'!$AA$5+'sv10'!$Z$5*($B12-$R12/3600)+'sv10'!$Y$5*($B12-$R12/3600)^2+'sv10'!$X$5*($B12-$R12/3600)^3+'sv10'!$W$5*($B12-$R12/3600)^4+'sv10'!$V$5*($B12-$R12/3600)^5+'sv10'!$U$5*($B12-$R12/3600)^6+'sv10'!$T$5*($B12-$R12/3600)^7+'sv10'!$S$5*($B12-$R12/3600)^8</f>
        <v>17734.04044106129</v>
      </c>
      <c r="W12">
        <f>coord!$B$6*P12/10^6</f>
        <v>-12891.241249275561</v>
      </c>
      <c r="X12">
        <f>SQRT(($T12*1000+coord!$B$7*$R12*$U12*1000-coord!$B$2)^2+($U12*1000-coord!$B$7*$R12*$T12*1000-coord!$C$2)^2+($V12*1000-coord!$D$2)^2)</f>
        <v>23299434.499370787</v>
      </c>
      <c r="Y12" s="3">
        <f>$D12-(X12-$W12)-coord!$E$2</f>
        <v>-15.045092366635799</v>
      </c>
      <c r="Z12" s="3"/>
      <c r="AB12">
        <f>-(T12*1000-coord!$B$2)/$X12</f>
        <v>-0.1236925294594588</v>
      </c>
      <c r="AC12">
        <f>-(U12*1000-coord!$C$2)/$X12</f>
        <v>0.81426689793275397</v>
      </c>
      <c r="AD12">
        <f>-(V12*1000-coord!$D$2)/$X12</f>
        <v>-0.56715763496827165</v>
      </c>
      <c r="AE12">
        <v>1</v>
      </c>
      <c r="AG12">
        <v>-0.72790960158454643</v>
      </c>
      <c r="AH12">
        <v>-0.82112953655751653</v>
      </c>
      <c r="AI12">
        <v>-0.56715763496827165</v>
      </c>
      <c r="AJ12">
        <v>-0.50090052845456201</v>
      </c>
      <c r="AK12">
        <v>-0.12806357763875437</v>
      </c>
      <c r="AL12">
        <v>-0.81995049482074156</v>
      </c>
      <c r="AM12">
        <v>0.10573250986886673</v>
      </c>
      <c r="AO12">
        <v>1.1165952925919755</v>
      </c>
      <c r="AP12">
        <v>-0.53625782812644973</v>
      </c>
      <c r="AQ12">
        <v>2.476573683712584</v>
      </c>
      <c r="AR12">
        <v>-3.4593788641555254</v>
      </c>
      <c r="AT12">
        <v>1.3089922800931761</v>
      </c>
      <c r="AU12">
        <v>0.20463884733148716</v>
      </c>
      <c r="AV12">
        <v>2.1909269748513962</v>
      </c>
      <c r="AW12">
        <v>1.6702037417443802</v>
      </c>
      <c r="AY12">
        <v>24.783913048590989</v>
      </c>
      <c r="BA12">
        <v>10.366805606774371</v>
      </c>
      <c r="BD12">
        <f>SQRT(($T12*1000+coord!$B$7*$R12*$U12*1000-coord!$B$2-BA$10)^2+($U12*1000-coord!$B$7*$R12*$T12*1000-coord!$C$2-BA$11)^2+($V12*1000-coord!$D$2-BA$12)^2)</f>
        <v>23299409.763074353</v>
      </c>
      <c r="BE12" s="3">
        <f t="shared" si="10"/>
        <v>2.9508431854970709</v>
      </c>
      <c r="BG12" s="1"/>
      <c r="BH12" s="1"/>
      <c r="BI12" s="1"/>
      <c r="BV12">
        <f>COS(RADIANS(BK10))</f>
        <v>0.70201379554669596</v>
      </c>
      <c r="BW12">
        <v>0</v>
      </c>
      <c r="BX12">
        <f>SIN(RADIANS(BK10))</f>
        <v>0.71216334563225148</v>
      </c>
      <c r="BZ12" t="s">
        <v>95</v>
      </c>
      <c r="CA12">
        <v>0.68693739094465567</v>
      </c>
      <c r="CB12">
        <v>0.14470794746670806</v>
      </c>
      <c r="CC12">
        <v>0.71216334563225148</v>
      </c>
      <c r="CD12">
        <v>0</v>
      </c>
      <c r="CE12" s="1">
        <v>10.886214659291269</v>
      </c>
      <c r="CG12" s="1"/>
      <c r="CH12" s="1"/>
      <c r="CI12" s="1"/>
      <c r="CK12">
        <v>2.5889683462155464</v>
      </c>
      <c r="CL12">
        <v>9.6654634213615476E-2</v>
      </c>
      <c r="CM12">
        <v>2.4891064936693121</v>
      </c>
      <c r="CN12">
        <v>2.3967569560795798</v>
      </c>
      <c r="CP12">
        <v>0.70201379554669596</v>
      </c>
      <c r="CQ12">
        <v>0</v>
      </c>
      <c r="CR12">
        <v>0.71216334563225148</v>
      </c>
      <c r="CS12">
        <v>0</v>
      </c>
      <c r="CU12" s="5">
        <v>-7.0973517505607653E-2</v>
      </c>
      <c r="CV12" s="5">
        <v>-0.43909195964969389</v>
      </c>
      <c r="CW12" s="5">
        <v>3.565096262884305</v>
      </c>
      <c r="CX12" s="5">
        <v>2.3967569560795798</v>
      </c>
    </row>
    <row r="13" spans="1:111">
      <c r="A13">
        <v>2</v>
      </c>
      <c r="B13">
        <f t="shared" si="9"/>
        <v>0.26666666666666666</v>
      </c>
      <c r="C13">
        <v>4</v>
      </c>
      <c r="D13">
        <f>tetto!D13*coord!$B$13-tetto!G13*coord!$B$14</f>
        <v>21058306.769019745</v>
      </c>
      <c r="E13" s="5">
        <f>90-DEGREES(ACOS((coord!$B$2*($T13*1000-coord!$B$2)+coord!$C$2*($U13*1000-coord!$C$2)+coord!$D$2*($V13*1000-coord!$D$2))/(SQRT(coord!$B$2^2+coord!$C$2^2+coord!$D$2^2)*SQRT(($T13*1000-coord!$B$2)^2+($U13*1000-coord!$C$2)^2+($V13*1000-coord!$D$2)^2))))</f>
        <v>56.009632218621242</v>
      </c>
      <c r="F13">
        <f>(coord!$C$2*($V13*1000-coord!$D$2)-coord!$D$2*($U13*1000-coord!$C$2))/(SQRT(coord!$B$2^2+coord!$C$2^2+coord!$D$2^2)*SQRT(($T13*1000-coord!$B$2)^2+($U13*1000-coord!$C$2)^2+($V13*1000-coord!$D$2)^2))</f>
        <v>0.35292083191571733</v>
      </c>
      <c r="G13">
        <f>(-coord!$B$2*($V13*1000-coord!$D$2)+coord!$D$2*($T13*1000-coord!$B$2))/(SQRT(coord!$B$2^2+coord!$C$2^2+coord!$D$2^2)*SQRT(($T13*1000-coord!$B$2)^2+($U13*1000-coord!$C$2)^2+($V13*1000-coord!$D$2)^2))</f>
        <v>0.20146341527795458</v>
      </c>
      <c r="H13">
        <f>(coord!$B$2*($U13*1000-coord!$C$2)-coord!$C$2*($T13*1000-coord!$B$2))/(SQRT(coord!$B$2^2+coord!$C$2^2+coord!$D$2^2)*SQRT(($T13*1000-coord!$B$2)^2+($U13*1000-coord!$C$2)^2+($V13*1000-coord!$D$2)^2))</f>
        <v>-0.38392736300736502</v>
      </c>
      <c r="I13">
        <f t="shared" si="5"/>
        <v>-0.54503673525513663</v>
      </c>
      <c r="J13">
        <f t="shared" si="6"/>
        <v>0.1243882859522194</v>
      </c>
      <c r="K13">
        <f t="shared" si="7"/>
        <v>-1.8310930123041635E-3</v>
      </c>
      <c r="L13">
        <f t="shared" si="8"/>
        <v>257.14413531218355</v>
      </c>
      <c r="M13" s="5">
        <f>'sv04'!$AA$3+'sv04'!$Z$3*($B13)+'sv04'!$Y$3*($B13)^2+'sv04'!$X$3*($B13)^3+'sv04'!$W$3*($B13)^4+'sv04'!$V$3*($B13)^5+'sv04'!$U$3*($B13)^6+'sv04'!$T$3*($B13)^7+'sv04'!$S$3*($B13)^8</f>
        <v>20629.097823920081</v>
      </c>
      <c r="N13" s="5">
        <f>'sv04'!$AA$4+'sv04'!$Z$4*($B13)+'sv04'!$Y$4*($B13)^2+'sv04'!$X$4*($B13)^3+'sv04'!$W$4*($B13)^4+'sv04'!$V$4*($B13)^5+'sv04'!$U$4*($B13)^6+'sv04'!$T$4*($B13)^7+'sv04'!$S$4*($B13)^8</f>
        <v>-7398.1196624029662</v>
      </c>
      <c r="O13" s="5">
        <f>'sv04'!$AA$5+'sv04'!$Z$5*($B13)+'sv04'!$Y$5*($B13)^2+'sv04'!$X$5*($B13)^3+'sv04'!$W$5*($B13)^4+'sv04'!$V$5*($B13)^5+'sv04'!$U$5*($B13)^6+'sv04'!$T$5*($B13)^7+'sv04'!$S$5*($B13)^8</f>
        <v>15080.559166400792</v>
      </c>
      <c r="P13" s="5">
        <f>'sv04'!$AA$6+'sv04'!$Z$6*$B13+'sv04'!$Y$6*$B13^2+'sv04'!$X$6*$B13^3+'sv04'!$W$6*$B13^4+'sv04'!$V$6*$B13^5+'sv04'!$U$6*$B13^6+'sv04'!$T$6*$B13^7+'sv04'!$S$6*$B13^8</f>
        <v>86.595356440089603</v>
      </c>
      <c r="R13">
        <f>SQRT(($M13*1000-coord!$B$2)^2+($N13*1000-coord!$C$2)^2+($O13*1000-coord!$D$2)^2)/coord!$B$6</f>
        <v>7.0329520116028429E-2</v>
      </c>
      <c r="T13" s="5">
        <f>'sv04'!$AA$3+'sv04'!$Z$3*($B13-$R13/3600)+'sv04'!$Y$3*($B13-$R13/3600)^2+'sv04'!$X$3*($B13-$R13/3600)^3+'sv04'!$W$3*($B13-$R13/3600)^4+'sv04'!$V$3*($B13-$R13/3600)^5+'sv04'!$U$3*($B13-$R13/3600)^6+'sv04'!$T$3*($B13-$R13/3600)^7+'sv04'!$S$3*($B13-$R13/3600)^8+N13*coord!$B$7*R13</f>
        <v>20628.928907137859</v>
      </c>
      <c r="U13" s="5">
        <f>'sv04'!$AA$4+'sv04'!$Z$4*($B13-$R13/3600)+'sv04'!$Y$4*($B13-$R13/3600)^2+'sv04'!$X$4*($B13-$R13/3600)^3+'sv04'!$W$4*($B13-$R13/3600)^4+'sv04'!$V$4*($B13-$R13/3600)^5+'sv04'!$U$4*($B13-$R13/3600)^6+'sv04'!$T$4*($B13-$R13/3600)^7+'sv04'!$S$4*($B13-$R13/3600)^8-M13*coord!$B$7*R13</f>
        <v>-7398.2662005409884</v>
      </c>
      <c r="V13" s="5">
        <f>'sv04'!$AA$5+'sv04'!$Z$5*($B13-$R13/3600)+'sv04'!$Y$5*($B13-$R13/3600)^2+'sv04'!$X$5*($B13-$R13/3600)^3+'sv04'!$W$5*($B13-$R13/3600)^4+'sv04'!$V$5*($B13-$R13/3600)^5+'sv04'!$U$5*($B13-$R13/3600)^6+'sv04'!$T$5*($B13-$R13/3600)^7+'sv04'!$S$5*($B13-$R13/3600)^8</f>
        <v>15080.714044937111</v>
      </c>
      <c r="W13">
        <f>coord!$B$6*P13/10^6</f>
        <v>25960.634758560591</v>
      </c>
      <c r="X13">
        <f>SQRT(($T13*1000+coord!$B$7*$R13*$U13*1000-coord!$B$2)^2+($U13*1000-coord!$B$7*$R13*$T13*1000-coord!$C$2)^2+($V13*1000-coord!$D$2)^2)</f>
        <v>21084277.557505392</v>
      </c>
      <c r="Y13" s="3">
        <f>$D13-(X13-$W13)-coord!$E$2</f>
        <v>-10.15372708439827</v>
      </c>
      <c r="Z13" s="3"/>
      <c r="AB13">
        <f>-(T13*1000-coord!$B$2)/$X13</f>
        <v>-0.77024459064554818</v>
      </c>
      <c r="AC13">
        <f>-(U13*1000-coord!$C$2)/$X13</f>
        <v>0.39474136076236105</v>
      </c>
      <c r="AD13">
        <f>-(V13*1000-coord!$D$2)/$X13</f>
        <v>-0.50090052845456201</v>
      </c>
      <c r="AE13">
        <v>1</v>
      </c>
      <c r="AG13">
        <v>1</v>
      </c>
      <c r="AH13">
        <v>1</v>
      </c>
      <c r="AI13">
        <v>1</v>
      </c>
      <c r="AJ13">
        <v>1</v>
      </c>
      <c r="AK13">
        <v>1</v>
      </c>
      <c r="AL13">
        <v>1</v>
      </c>
      <c r="AM13">
        <v>1</v>
      </c>
      <c r="AO13">
        <v>-3.1583982250785332</v>
      </c>
      <c r="AP13">
        <v>0.10818655340834418</v>
      </c>
      <c r="AQ13">
        <v>-3.4593788641555254</v>
      </c>
      <c r="AR13">
        <v>7</v>
      </c>
      <c r="AT13">
        <v>1.7542824720350689</v>
      </c>
      <c r="AU13">
        <v>1.5319456812807939E-2</v>
      </c>
      <c r="AV13">
        <v>1.67020374174438</v>
      </c>
      <c r="AW13">
        <v>1.7595618299647511</v>
      </c>
      <c r="AY13">
        <v>-21.56494215875864</v>
      </c>
      <c r="BA13">
        <v>6.7403608818225607</v>
      </c>
      <c r="BD13">
        <f>SQRT(($T13*1000+coord!$B$7*$R13*$U13*1000-coord!$B$2-BA$10)^2+($U13*1000-coord!$B$7*$R13*$T13*1000-coord!$C$2-BA$11)^2+($V13*1000-coord!$D$2-BA$12)^2)</f>
        <v>21084256.355664816</v>
      </c>
      <c r="BE13" s="3">
        <f t="shared" si="10"/>
        <v>4.3077526095636145</v>
      </c>
      <c r="BG13" s="1"/>
      <c r="BH13" s="1"/>
      <c r="BI13" s="1"/>
      <c r="CA13">
        <v>0</v>
      </c>
      <c r="CB13">
        <v>0</v>
      </c>
      <c r="CC13">
        <v>0</v>
      </c>
      <c r="CD13">
        <v>1</v>
      </c>
      <c r="CG13" s="1"/>
      <c r="CH13" s="1"/>
      <c r="CI13" s="1"/>
      <c r="CK13">
        <v>1.7542824720350689</v>
      </c>
      <c r="CL13">
        <v>1.5319456812807939E-2</v>
      </c>
      <c r="CM13">
        <v>1.67020374174438</v>
      </c>
      <c r="CN13">
        <v>1.7595618299647511</v>
      </c>
      <c r="CP13">
        <v>0</v>
      </c>
      <c r="CQ13">
        <v>0</v>
      </c>
      <c r="CR13">
        <v>0</v>
      </c>
      <c r="CS13">
        <v>1</v>
      </c>
      <c r="CU13" s="5">
        <v>-5.2247848970063737E-2</v>
      </c>
      <c r="CV13" s="5">
        <v>-0.34662439635084341</v>
      </c>
      <c r="CW13" s="5">
        <v>2.3967569560795798</v>
      </c>
      <c r="CX13" s="5">
        <v>1.7595618299647511</v>
      </c>
    </row>
    <row r="14" spans="1:111">
      <c r="A14">
        <v>2</v>
      </c>
      <c r="B14">
        <f t="shared" si="9"/>
        <v>0.26666666666666666</v>
      </c>
      <c r="C14">
        <v>20</v>
      </c>
      <c r="D14">
        <f>tetto!D14*coord!$B$13-tetto!G14*coord!$B$14</f>
        <v>22668269.075913265</v>
      </c>
      <c r="E14" s="5">
        <f>90-DEGREES(ACOS((coord!$B$2*($T14*1000-coord!$B$2)+coord!$C$2*($U14*1000-coord!$C$2)+coord!$D$2*($V14*1000-coord!$D$2))/(SQRT(coord!$B$2^2+coord!$C$2^2+coord!$D$2^2)*SQRT(($T14*1000-coord!$B$2)^2+($U14*1000-coord!$C$2)^2+($V14*1000-coord!$D$2)^2))))</f>
        <v>31.190214232665987</v>
      </c>
      <c r="F14">
        <f>(coord!$C$2*($V14*1000-coord!$D$2)-coord!$D$2*($U14*1000-coord!$C$2))/(SQRT(coord!$B$2^2+coord!$C$2^2+coord!$D$2^2)*SQRT(($T14*1000-coord!$B$2)^2+($U14*1000-coord!$C$2)^2+($V14*1000-coord!$D$2)^2))</f>
        <v>-0.61529835380900988</v>
      </c>
      <c r="G14">
        <f>(-coord!$B$2*($V14*1000-coord!$D$2)+coord!$D$2*($T14*1000-coord!$B$2))/(SQRT(coord!$B$2^2+coord!$C$2^2+coord!$D$2^2)*SQRT(($T14*1000-coord!$B$2)^2+($U14*1000-coord!$C$2)^2+($V14*1000-coord!$D$2)^2))</f>
        <v>0.21788959029481042</v>
      </c>
      <c r="H14">
        <f>(coord!$B$2*($U14*1000-coord!$C$2)-coord!$C$2*($T14*1000-coord!$B$2))/(SQRT(coord!$B$2^2+coord!$C$2^2+coord!$D$2^2)*SQRT(($T14*1000-coord!$B$2)^2+($U14*1000-coord!$C$2)^2+($V14*1000-coord!$D$2)^2))</f>
        <v>0.55292985487614044</v>
      </c>
      <c r="I14">
        <f t="shared" si="5"/>
        <v>0.78496049266469914</v>
      </c>
      <c r="J14">
        <f t="shared" si="6"/>
        <v>0.34004329510819875</v>
      </c>
      <c r="K14">
        <f t="shared" si="7"/>
        <v>2.6352570688698562E-3</v>
      </c>
      <c r="L14">
        <f t="shared" si="8"/>
        <v>113.42216305167908</v>
      </c>
      <c r="M14" s="5">
        <f>'sv20'!$AA$3+'sv20'!$Z$3*($B14)+'sv20'!$Y$3*($B14)^2+'sv20'!$X$3*($B14)^3+'sv20'!$W$3*($B14)^4+'sv20'!$V$3*($B14)^5+'sv20'!$U$3*($B14)^6+'sv20'!$T$3*($B14)^7+'sv20'!$S$3*($B14)^8</f>
        <v>14173.538538301531</v>
      </c>
      <c r="N14" s="5">
        <f>'sv20'!$AA$4+'sv20'!$Z$4*($B14)+'sv20'!$Y$4*($B14)^2+'sv20'!$X$4*($B14)^3+'sv20'!$W$4*($B14)^4+'sv20'!$V$4*($B14)^5+'sv20'!$U$4*($B14)^6+'sv20'!$T$4*($B14)^7+'sv20'!$S$4*($B14)^8</f>
        <v>21183.738387295412</v>
      </c>
      <c r="O14" s="5">
        <f>'sv20'!$AA$5+'sv20'!$Z$5*($B14)+'sv20'!$Y$5*($B14)^2+'sv20'!$X$5*($B14)^3+'sv20'!$W$5*($B14)^4+'sv20'!$V$5*($B14)^5+'sv20'!$U$5*($B14)^6+'sv20'!$T$5*($B14)^7+'sv20'!$S$5*($B14)^8</f>
        <v>7424.4863778835434</v>
      </c>
      <c r="P14" s="5">
        <f>'sv20'!$AA$6+'sv20'!$Z$6*$B14+'sv20'!$Y$6*$B14^2+'sv20'!$X$6*$B14^3+'sv20'!$W$6*$B14^4+'sv20'!$V$6*$B14^5+'sv20'!$U$6*$B14^6+'sv20'!$T$6*$B14^7+'sv20'!$S$6*$B14^8</f>
        <v>55.818261104757624</v>
      </c>
      <c r="R14">
        <f>SQRT(($M14*1000-coord!$B$2)^2+($N14*1000-coord!$C$2)^2+($O14*1000-coord!$D$2)^2)/coord!$B$6</f>
        <v>7.5669212149383866E-2</v>
      </c>
      <c r="T14" s="5">
        <f>'sv20'!$AA$3+'sv20'!$Z$3*($B14-$R14/3600)+'sv20'!$Y$3*($B14-$R14/3600)^2+'sv20'!$X$3*($B14-$R14/3600)^3+'sv20'!$W$3*($B14-$R14/3600)^4+'sv20'!$V$3*($B14-$R14/3600)^5+'sv20'!$U$3*($B14-$R14/3600)^6+'sv20'!$T$3*($B14-$R14/3600)^7+'sv20'!$S$3*($B14-$R14/3600)^8+N14*coord!$B$7*R14</f>
        <v>14173.65218190393</v>
      </c>
      <c r="U14" s="5">
        <f>'sv20'!$AA$4+'sv20'!$Z$4*($B14-$R14/3600)+'sv20'!$Y$4*($B14-$R14/3600)^2+'sv20'!$X$4*($B14-$R14/3600)^3+'sv20'!$W$4*($B14-$R14/3600)^4+'sv20'!$V$4*($B14-$R14/3600)^5+'sv20'!$U$4*($B14-$R14/3600)^6+'sv20'!$T$4*($B14-$R14/3600)^7+'sv20'!$S$4*($B14-$R14/3600)^8-M14*coord!$B$7*R14</f>
        <v>21183.583194787399</v>
      </c>
      <c r="V14" s="5">
        <f>'sv20'!$AA$5+'sv20'!$Z$5*($B14-$R14/3600)+'sv20'!$Y$5*($B14-$R14/3600)^2+'sv20'!$X$5*($B14-$R14/3600)^3+'sv20'!$W$5*($B14-$R14/3600)^4+'sv20'!$V$5*($B14-$R14/3600)^5+'sv20'!$U$5*($B14-$R14/3600)^6+'sv20'!$T$5*($B14-$R14/3600)^7+'sv20'!$S$5*($B14-$R14/3600)^8</f>
        <v>7424.7077734992827</v>
      </c>
      <c r="W14">
        <f>coord!$B$6*P14/10^6</f>
        <v>16733.893697881085</v>
      </c>
      <c r="X14">
        <f>SQRT(($T14*1000+coord!$B$7*$R14*$U14*1000-coord!$B$2)^2+($U14*1000-coord!$B$7*$R14*$T14*1000-coord!$C$2)^2+($V14*1000-coord!$D$2)^2)</f>
        <v>22684978.45182908</v>
      </c>
      <c r="Y14" s="3">
        <f>$D14-(X14-$W14)-coord!$E$2</f>
        <v>24.517782066017389</v>
      </c>
      <c r="Z14" s="3"/>
      <c r="AB14">
        <f>-(T14*1000-coord!$B$2)/$X14</f>
        <v>-0.43133274434805507</v>
      </c>
      <c r="AC14">
        <f>-(U14*1000-coord!$C$2)/$X14</f>
        <v>-0.89305850673858245</v>
      </c>
      <c r="AD14">
        <f>-(V14*1000-coord!$D$2)/$X14</f>
        <v>-0.12806357763875437</v>
      </c>
      <c r="AE14">
        <v>1</v>
      </c>
      <c r="BD14">
        <f>SQRT(($T14*1000+coord!$B$7*$R14*$U14*1000-coord!$B$2-BA$10)^2+($U14*1000-coord!$B$7*$R14*$T14*1000-coord!$C$2-BA$11)^2+($V14*1000-coord!$D$2-BA$12)^2)</f>
        <v>22684992.323219277</v>
      </c>
      <c r="BE14" s="3">
        <f t="shared" si="10"/>
        <v>3.9060309867687479</v>
      </c>
      <c r="BG14" s="1"/>
      <c r="BH14" s="1"/>
      <c r="BI14" s="1"/>
      <c r="CG14" s="1"/>
      <c r="CH14" s="1"/>
      <c r="CI14" s="1"/>
    </row>
    <row r="15" spans="1:111">
      <c r="A15">
        <v>2</v>
      </c>
      <c r="B15">
        <f t="shared" si="9"/>
        <v>0.26666666666666666</v>
      </c>
      <c r="C15">
        <v>13</v>
      </c>
      <c r="D15">
        <f>tetto!D15*coord!$B$13-tetto!G15*coord!$B$14</f>
        <v>20068184.097767286</v>
      </c>
      <c r="E15" s="5">
        <f>90-DEGREES(ACOS((coord!$B$2*($T15*1000-coord!$B$2)+coord!$C$2*($U15*1000-coord!$C$2)+coord!$D$2*($V15*1000-coord!$D$2))/(SQRT(coord!$B$2^2+coord!$C$2^2+coord!$D$2^2)*SQRT(($T15*1000-coord!$B$2)^2+($U15*1000-coord!$C$2)^2+($V15*1000-coord!$D$2)^2))))</f>
        <v>80.060323118592805</v>
      </c>
      <c r="F15">
        <f>(coord!$C$2*($V15*1000-coord!$D$2)-coord!$D$2*($U15*1000-coord!$C$2))/(SQRT(coord!$B$2^2+coord!$C$2^2+coord!$D$2^2)*SQRT(($T15*1000-coord!$B$2)^2+($U15*1000-coord!$C$2)^2+($V15*1000-coord!$D$2)^2))</f>
        <v>2.17549835891803E-2</v>
      </c>
      <c r="G15">
        <f>(-coord!$B$2*($V15*1000-coord!$D$2)+coord!$D$2*($T15*1000-coord!$B$2))/(SQRT(coord!$B$2^2+coord!$C$2^2+coord!$D$2^2)*SQRT(($T15*1000-coord!$B$2)^2+($U15*1000-coord!$C$2)^2+($V15*1000-coord!$D$2)^2))</f>
        <v>-0.17067864799876872</v>
      </c>
      <c r="H15">
        <f>(coord!$B$2*($U15*1000-coord!$C$2)-coord!$C$2*($T15*1000-coord!$B$2))/(SQRT(coord!$B$2^2+coord!$C$2^2+coord!$D$2^2)*SQRT(($T15*1000-coord!$B$2)^2+($U15*1000-coord!$C$2)^2+($V15*1000-coord!$D$2)^2))</f>
        <v>1.3789844916326266E-2</v>
      </c>
      <c r="I15">
        <f t="shared" si="5"/>
        <v>1.9575936021321134E-2</v>
      </c>
      <c r="J15">
        <f t="shared" si="6"/>
        <v>-0.17149757531880142</v>
      </c>
      <c r="K15">
        <f t="shared" si="7"/>
        <v>6.637115792060104E-5</v>
      </c>
      <c r="L15">
        <f t="shared" si="8"/>
        <v>6.5119571103859926</v>
      </c>
      <c r="M15" s="5">
        <f>'sv13'!$AA$3+'sv13'!$Z$3*($B15)+'sv13'!$Y$3*($B15)^2+'sv13'!$X$3*($B15)^3+'sv13'!$W$3*($B15)^4+'sv13'!$V$3*($B15)^5+'sv13'!$U$3*($B15)^6+'sv13'!$T$3*($B15)^7+'sv13'!$S$3*($B15)^8</f>
        <v>15592.864969003098</v>
      </c>
      <c r="N15" s="5">
        <f>'sv13'!$AA$4+'sv13'!$Z$4*($B15)+'sv13'!$Y$4*($B15)^2+'sv13'!$X$4*($B15)^3+'sv13'!$W$4*($B15)^4+'sv13'!$V$4*($B15)^5+'sv13'!$U$4*($B15)^6+'sv13'!$T$4*($B15)^7+'sv13'!$S$4*($B15)^8</f>
        <v>3688.3800204144914</v>
      </c>
      <c r="O15" s="5">
        <f>'sv13'!$AA$5+'sv13'!$Z$5*($B15)+'sv13'!$Y$5*($B15)^2+'sv13'!$X$5*($B15)^3+'sv13'!$W$5*($B15)^4+'sv13'!$V$5*($B15)^5+'sv13'!$U$5*($B15)^6+'sv13'!$T$5*($B15)^7+'sv13'!$S$5*($B15)^8</f>
        <v>21049.358732747543</v>
      </c>
      <c r="P15" s="5">
        <f>'sv13'!$AA$6+'sv13'!$Z$6*$B15+'sv13'!$Y$6*$B15^2+'sv13'!$X$6*$B15^3+'sv13'!$W$6*$B15^4+'sv13'!$V$6*$B15^5+'sv13'!$U$6*$B15^6+'sv13'!$T$6*$B15^7+'sv13'!$S$6*$B15^8</f>
        <v>304.21961300746625</v>
      </c>
      <c r="R15">
        <f>SQRT(($M15*1000-coord!$B$2)^2+($N15*1000-coord!$C$2)^2+($O15*1000-coord!$D$2)^2)/coord!$B$6</f>
        <v>6.7244509276350672E-2</v>
      </c>
      <c r="T15" s="5">
        <f>'sv13'!$AA$3+'sv13'!$Z$3*($B15-$R15/3600)+'sv13'!$Y$3*($B15-$R15/3600)^2+'sv13'!$X$3*($B15-$R15/3600)^3+'sv13'!$W$3*($B15-$R15/3600)^4+'sv13'!$V$3*($B15-$R15/3600)^5+'sv13'!$U$3*($B15-$R15/3600)^6+'sv13'!$T$3*($B15-$R15/3600)^7+'sv13'!$S$3*($B15-$R15/3600)^8+N15*coord!$B$7*R15</f>
        <v>15593.006968824526</v>
      </c>
      <c r="U15" s="5">
        <f>'sv13'!$AA$4+'sv13'!$Z$4*($B15-$R15/3600)+'sv13'!$Y$4*($B15-$R15/3600)^2+'sv13'!$X$4*($B15-$R15/3600)^3+'sv13'!$W$4*($B15-$R15/3600)^4+'sv13'!$V$4*($B15-$R15/3600)^5+'sv13'!$U$4*($B15-$R15/3600)^6+'sv13'!$T$4*($B15-$R15/3600)^7+'sv13'!$S$4*($B15-$R15/3600)^8-M15*coord!$B$7*R15</f>
        <v>3688.1711554702069</v>
      </c>
      <c r="V15" s="5">
        <f>'sv13'!$AA$5+'sv13'!$Z$5*($B15-$R15/3600)+'sv13'!$Y$5*($B15-$R15/3600)^2+'sv13'!$X$5*($B15-$R15/3600)^3+'sv13'!$W$5*($B15-$R15/3600)^4+'sv13'!$V$5*($B15-$R15/3600)^5+'sv13'!$U$5*($B15-$R15/3600)^6+'sv13'!$T$5*($B15-$R15/3600)^7+'sv13'!$S$5*($B15-$R15/3600)^8</f>
        <v>21049.290797121546</v>
      </c>
      <c r="W15">
        <f>coord!$B$6*P15/10^6</f>
        <v>91202.745555317073</v>
      </c>
      <c r="X15">
        <f>SQRT(($T15*1000+coord!$B$7*$R15*$U15*1000-coord!$B$2)^2+($U15*1000-coord!$B$7*$R15*$T15*1000-coord!$C$2)^2+($V15*1000-coord!$D$2)^2)</f>
        <v>20159390.874488451</v>
      </c>
      <c r="Y15" s="3">
        <f>$D15-(X15-$W15)-coord!$E$2</f>
        <v>-4.0311658456921577</v>
      </c>
      <c r="Z15" s="3"/>
      <c r="AB15">
        <f>-(T15*1000-coord!$B$2)/$X15</f>
        <v>-0.55577714960640312</v>
      </c>
      <c r="AC15">
        <f>-(U15*1000-coord!$C$2)/$X15</f>
        <v>-0.13708752211196629</v>
      </c>
      <c r="AD15">
        <f>-(V15*1000-coord!$D$2)/$X15</f>
        <v>-0.81995049482074156</v>
      </c>
      <c r="AE15">
        <v>1</v>
      </c>
      <c r="BD15">
        <f>SQRT(($T15*1000+coord!$B$7*$R15*$U15*1000-coord!$B$2-BA$10)^2+($U15*1000-coord!$B$7*$R15*$T15*1000-coord!$C$2-BA$11)^2+($V15*1000-coord!$D$2-BA$12)^2)</f>
        <v>20159379.973685496</v>
      </c>
      <c r="BE15" s="3">
        <f t="shared" si="10"/>
        <v>0.12927622751667656</v>
      </c>
      <c r="BG15" s="1"/>
      <c r="BH15" s="1"/>
      <c r="BI15" s="1"/>
      <c r="CG15" s="1"/>
      <c r="CH15" s="1"/>
      <c r="CI15" s="1"/>
    </row>
    <row r="16" spans="1:111">
      <c r="A16">
        <v>2</v>
      </c>
      <c r="B16">
        <f t="shared" si="9"/>
        <v>0.26666666666666666</v>
      </c>
      <c r="C16">
        <v>7</v>
      </c>
      <c r="D16">
        <f>tetto!D16*coord!$B$13-tetto!G16*coord!$B$14</f>
        <v>22205609.2078261</v>
      </c>
      <c r="E16" s="5">
        <f>90-DEGREES(ACOS((coord!$B$2*($T16*1000-coord!$B$2)+coord!$C$2*($U16*1000-coord!$C$2)+coord!$D$2*($V16*1000-coord!$D$2))/(SQRT(coord!$B$2^2+coord!$C$2^2+coord!$D$2^2)*SQRT(($T16*1000-coord!$B$2)^2+($U16*1000-coord!$C$2)^2+($V16*1000-coord!$D$2)^2))))</f>
        <v>38.672329594162491</v>
      </c>
      <c r="F16">
        <f>(coord!$C$2*($V16*1000-coord!$D$2)-coord!$D$2*($U16*1000-coord!$C$2))/(SQRT(coord!$B$2^2+coord!$C$2^2+coord!$D$2^2)*SQRT(($T16*1000-coord!$B$2)^2+($U16*1000-coord!$C$2)^2+($V16*1000-coord!$D$2)^2))</f>
        <v>-0.18781768195403076</v>
      </c>
      <c r="G16">
        <f>(-coord!$B$2*($V16*1000-coord!$D$2)+coord!$D$2*($T16*1000-coord!$B$2))/(SQRT(coord!$B$2^2+coord!$C$2^2+coord!$D$2^2)*SQRT(($T16*1000-coord!$B$2)^2+($U16*1000-coord!$C$2)^2+($V16*1000-coord!$D$2)^2))</f>
        <v>0.75730649452154397</v>
      </c>
      <c r="H16">
        <f>(coord!$B$2*($U16*1000-coord!$C$2)-coord!$C$2*($T16*1000-coord!$B$2))/(SQRT(coord!$B$2^2+coord!$C$2^2+coord!$D$2^2)*SQRT(($T16*1000-coord!$B$2)^2+($U16*1000-coord!$C$2)^2+($V16*1000-coord!$D$2)^2))</f>
        <v>2.7463983395699651E-2</v>
      </c>
      <c r="I16">
        <f t="shared" si="5"/>
        <v>3.8991717676056026E-2</v>
      </c>
      <c r="J16">
        <f t="shared" si="6"/>
        <v>0.77975798053962719</v>
      </c>
      <c r="K16">
        <f t="shared" si="7"/>
        <v>1.2814244851273165E-4</v>
      </c>
      <c r="L16">
        <f t="shared" si="8"/>
        <v>177.13731488344735</v>
      </c>
      <c r="M16" s="5">
        <f>'sv07'!$AA$3+'sv07'!$Z$3*($B16)+'sv07'!$Y$3*($B16)^2+'sv07'!$X$3*($B16)^3+'sv07'!$W$3*($B16)^4+'sv07'!$V$3*($B16)^5+'sv07'!$U$3*($B16)^6+'sv07'!$T$3*($B16)^7+'sv07'!$S$3*($B16)^8</f>
        <v>25800.455696994966</v>
      </c>
      <c r="N16" s="5">
        <f>'sv07'!$AA$4+'sv07'!$Z$4*($B16)+'sv07'!$Y$4*($B16)^2+'sv07'!$X$4*($B16)^3+'sv07'!$W$4*($B16)^4+'sv07'!$V$4*($B16)^5+'sv07'!$U$4*($B16)^6+'sv07'!$T$4*($B16)^7+'sv07'!$S$4*($B16)^8</f>
        <v>6320.1135675011383</v>
      </c>
      <c r="O16" s="5">
        <f>'sv07'!$AA$5+'sv07'!$Z$5*($B16)+'sv07'!$Y$5*($B16)^2+'sv07'!$X$5*($B16)^3+'sv07'!$W$5*($B16)^4+'sv07'!$V$5*($B16)^5+'sv07'!$U$5*($B16)^6+'sv07'!$T$5*($B16)^7+'sv07'!$S$5*($B16)^8</f>
        <v>2171.9885807569121</v>
      </c>
      <c r="P16" s="5">
        <f>'sv07'!$AA$6+'sv07'!$Z$6*$B16+'sv07'!$Y$6*$B16^2+'sv07'!$X$6*$B16^3+'sv07'!$W$6*$B16^4+'sv07'!$V$6*$B16^5+'sv07'!$U$6*$B16^6+'sv07'!$T$6*$B16^7+'sv07'!$S$6*$B16^8</f>
        <v>-0.63757011855585588</v>
      </c>
      <c r="R16">
        <f>SQRT(($M16*1000-coord!$B$2)^2+($N16*1000-coord!$C$2)^2+($O16*1000-coord!$D$2)^2)/coord!$B$6</f>
        <v>7.4069164639351107E-2</v>
      </c>
      <c r="T16" s="5">
        <f>'sv07'!$AA$3+'sv07'!$Z$3*($B16-$R16/3600)+'sv07'!$Y$3*($B16-$R16/3600)^2+'sv07'!$X$3*($B16-$R16/3600)^3+'sv07'!$W$3*($B16-$R16/3600)^4+'sv07'!$V$3*($B16-$R16/3600)^5+'sv07'!$U$3*($B16-$R16/3600)^6+'sv07'!$T$3*($B16-$R16/3600)^7+'sv07'!$S$3*($B16-$R16/3600)^8+N16*coord!$B$7*R16</f>
        <v>25800.513049990153</v>
      </c>
      <c r="U16" s="5">
        <f>'sv07'!$AA$4+'sv07'!$Z$4*($B16-$R16/3600)+'sv07'!$Y$4*($B16-$R16/3600)^2+'sv07'!$X$4*($B16-$R16/3600)^3+'sv07'!$W$4*($B16-$R16/3600)^4+'sv07'!$V$4*($B16-$R16/3600)^5+'sv07'!$U$4*($B16-$R16/3600)^6+'sv07'!$T$4*($B16-$R16/3600)^7+'sv07'!$S$4*($B16-$R16/3600)^8-M16*coord!$B$7*R16</f>
        <v>6319.9610521776804</v>
      </c>
      <c r="V16" s="5">
        <f>'sv07'!$AA$5+'sv07'!$Z$5*($B16-$R16/3600)+'sv07'!$Y$5*($B16-$R16/3600)^2+'sv07'!$X$5*($B16-$R16/3600)^3+'sv07'!$W$5*($B16-$R16/3600)^4+'sv07'!$V$5*($B16-$R16/3600)^5+'sv07'!$U$5*($B16-$R16/3600)^6+'sv07'!$T$5*($B16-$R16/3600)^7+'sv07'!$S$5*($B16-$R16/3600)^8</f>
        <v>2171.753582761105</v>
      </c>
      <c r="W16">
        <f>coord!$B$6*P16/10^6</f>
        <v>-191.13871298921143</v>
      </c>
      <c r="X16">
        <f>SQRT(($T16*1000+coord!$B$7*$R16*$U16*1000-coord!$B$2)^2+($U16*1000-coord!$B$7*$R16*$T16*1000-coord!$C$2)^2+($V16*1000-coord!$D$2)^2)</f>
        <v>22205419.075464714</v>
      </c>
      <c r="Y16" s="3">
        <f>$D16-(X16-$W16)-coord!$E$2</f>
        <v>-1.0063516050577164</v>
      </c>
      <c r="Z16" s="3"/>
      <c r="AA16" s="1" t="s">
        <v>128</v>
      </c>
      <c r="AB16">
        <f>-(T16*1000-coord!$B$2)/$X16</f>
        <v>-0.96425268113261453</v>
      </c>
      <c r="AC16">
        <f>-(U16*1000-coord!$C$2)/$X16</f>
        <v>-0.24297631225249758</v>
      </c>
      <c r="AD16">
        <f>-(V16*1000-coord!$D$2)/$X16</f>
        <v>0.10573250986886673</v>
      </c>
      <c r="AE16">
        <v>1</v>
      </c>
      <c r="BD16">
        <f>SQRT(($T16*1000+coord!$B$7*$R16*$U16*1000-coord!$B$2-BA$10)^2+($U16*1000-coord!$B$7*$R16*$T16*1000-coord!$C$2-BA$11)^2+($V16*1000-coord!$D$2-BA$12)^2)</f>
        <v>22205416.118095107</v>
      </c>
      <c r="BE16" s="3">
        <f t="shared" si="10"/>
        <v>-4.7893428799383386</v>
      </c>
      <c r="BF16" s="3" t="s">
        <v>127</v>
      </c>
      <c r="BG16" s="1" t="s">
        <v>128</v>
      </c>
      <c r="BH16" s="1"/>
      <c r="BI16" s="1"/>
      <c r="CG16" s="1"/>
      <c r="CH16" s="1"/>
      <c r="CI16" s="1"/>
    </row>
    <row r="17" spans="1:111">
      <c r="Y17" s="3"/>
      <c r="Z17" s="3">
        <f>AVERAGE($Y10:$Y16)</f>
        <v>-3.0807060226798058</v>
      </c>
      <c r="AA17" s="1">
        <f>SQRT(DEVSQ($Y10:$Y16)/6)</f>
        <v>14.83609480016152</v>
      </c>
      <c r="BE17" s="3"/>
      <c r="BF17" s="3">
        <f>AVERAGE($BE10:$BE16)</f>
        <v>6.6171045703405132E-5</v>
      </c>
      <c r="BG17" s="1">
        <f>SQRT(DEVSQ($BE10:$BE16)/6)</f>
        <v>3.8438237098193833</v>
      </c>
      <c r="BH17" s="1"/>
      <c r="BI17" s="1"/>
      <c r="CG17" s="1"/>
      <c r="CH17" s="1"/>
      <c r="CI17" s="1"/>
    </row>
    <row r="18" spans="1:111">
      <c r="A18">
        <v>4</v>
      </c>
      <c r="B18">
        <f t="shared" ref="B18:B24" si="11">(60-45)/60+30*A18/3600</f>
        <v>0.28333333333333333</v>
      </c>
      <c r="C18">
        <v>2</v>
      </c>
      <c r="D18">
        <f>tetto!D18*coord!$B$13-tetto!G18*coord!$B$14</f>
        <v>22873725.72071404</v>
      </c>
      <c r="E18" s="5">
        <f>90-DEGREES(ACOS((coord!$B$2*($T18*1000-coord!$B$2)+coord!$C$2*($U18*1000-coord!$C$2)+coord!$D$2*($V18*1000-coord!$D$2))/(SQRT(coord!$B$2^2+coord!$C$2^2+coord!$D$2^2)*SQRT(($T18*1000-coord!$B$2)^2+($U18*1000-coord!$C$2)^2+($V18*1000-coord!$D$2)^2))))</f>
        <v>27.55933792950659</v>
      </c>
      <c r="F18">
        <f>(coord!$C$2*($V18*1000-coord!$D$2)-coord!$D$2*($U18*1000-coord!$C$2))/(SQRT(coord!$B$2^2+coord!$C$2^2+coord!$D$2^2)*SQRT(($T18*1000-coord!$B$2)^2+($U18*1000-coord!$C$2)^2+($V18*1000-coord!$D$2)^2))</f>
        <v>0.59025961312908626</v>
      </c>
      <c r="G18">
        <f>(-coord!$B$2*($V18*1000-coord!$D$2)+coord!$D$2*($T18*1000-coord!$B$2))/(SQRT(coord!$B$2^2+coord!$C$2^2+coord!$D$2^2)*SQRT(($T18*1000-coord!$B$2)^2+($U18*1000-coord!$C$2)^2+($V18*1000-coord!$D$2)^2))</f>
        <v>-0.45500355752242816</v>
      </c>
      <c r="H18">
        <f>(coord!$B$2*($U18*1000-coord!$C$2)-coord!$C$2*($T18*1000-coord!$B$2))/(SQRT(coord!$B$2^2+coord!$C$2^2+coord!$D$2^2)*SQRT(($T18*1000-coord!$B$2)^2+($U18*1000-coord!$C$2)^2+($V18*1000-coord!$D$2)^2))</f>
        <v>-0.48010895313642404</v>
      </c>
      <c r="I18">
        <f t="shared" si="5"/>
        <v>-0.68158213279446622</v>
      </c>
      <c r="J18">
        <f t="shared" si="6"/>
        <v>-0.56690371319841892</v>
      </c>
      <c r="K18">
        <f t="shared" si="7"/>
        <v>-2.2872140933402063E-3</v>
      </c>
      <c r="L18">
        <f t="shared" ref="L18:L24" si="12">90+DEGREES(ATAN2(I18,J18))</f>
        <v>-50.248119887654042</v>
      </c>
      <c r="M18" s="5">
        <f>'sv02'!$AA$3+'sv02'!$Z$3*($B18)+'sv02'!$Y$3*($B18)^2+'sv02'!$X$3*($B18)^3+'sv02'!$W$3*($B18)^4+'sv02'!$V$3*($B18)^5+'sv02'!$U$3*($B18)^6+'sv02'!$T$3*($B18)^7+'sv02'!$S$3*($B18)^8</f>
        <v>5896.0211355896063</v>
      </c>
      <c r="N18" s="5">
        <f>'sv02'!$AA$4+'sv02'!$Z$4*($B18)+'sv02'!$Y$4*($B18)^2+'sv02'!$X$4*($B18)^3+'sv02'!$W$4*($B18)^4+'sv02'!$V$4*($B18)^5+'sv02'!$U$4*($B18)^6+'sv02'!$T$4*($B18)^7+'sv02'!$S$4*($B18)^8</f>
        <v>-14744.259649533918</v>
      </c>
      <c r="O18" s="5">
        <f>'sv02'!$AA$5+'sv02'!$Z$5*($B18)+'sv02'!$Y$5*($B18)^2+'sv02'!$X$5*($B18)^3+'sv02'!$W$5*($B18)^4+'sv02'!$V$5*($B18)^5+'sv02'!$U$5*($B18)^6+'sv02'!$T$5*($B18)^7+'sv02'!$S$5*($B18)^8</f>
        <v>21221.685032486756</v>
      </c>
      <c r="P18" s="5">
        <f>'sv02'!$AA$6+'sv02'!$Z$6*$B18+'sv02'!$Y$6*$B18^2+'sv02'!$X$6*$B18^3+'sv02'!$W$6*$B18^4+'sv02'!$V$6*$B18^5+'sv02'!$U$6*$B18^6+'sv02'!$T$6*$B18^7+'sv02'!$S$6*$B18^8</f>
        <v>257.59017088044357</v>
      </c>
      <c r="R18">
        <f>SQRT(($M18*1000-coord!$B$2)^2+($N18*1000-coord!$C$2)^2+($O18*1000-coord!$D$2)^2)/coord!$B$6</f>
        <v>7.6555957164532659E-2</v>
      </c>
      <c r="T18" s="5">
        <f>'sv02'!$AA$3+'sv02'!$Z$3*($B18-$R18/3600)+'sv02'!$Y$3*($B18-$R18/3600)^2+'sv02'!$X$3*($B18-$R18/3600)^3+'sv02'!$W$3*($B18-$R18/3600)^4+'sv02'!$V$3*($B18-$R18/3600)^5+'sv02'!$U$3*($B18-$R18/3600)^6+'sv02'!$T$3*($B18-$R18/3600)^7+'sv02'!$S$3*($B18-$R18/3600)^8+N18*coord!$B$7*R18</f>
        <v>5895.7345988722791</v>
      </c>
      <c r="U18" s="5">
        <f>'sv02'!$AA$4+'sv02'!$Z$4*($B18-$R18/3600)+'sv02'!$Y$4*($B18-$R18/3600)^2+'sv02'!$X$4*($B18-$R18/3600)^3+'sv02'!$W$4*($B18-$R18/3600)^4+'sv02'!$V$4*($B18-$R18/3600)^5+'sv02'!$U$4*($B18-$R18/3600)^6+'sv02'!$T$4*($B18-$R18/3600)^7+'sv02'!$S$4*($B18-$R18/3600)^8-M18*coord!$B$7*R18</f>
        <v>-14744.330980915554</v>
      </c>
      <c r="V18" s="5">
        <f>'sv02'!$AA$5+'sv02'!$Z$5*($B18-$R18/3600)+'sv02'!$Y$5*($B18-$R18/3600)^2+'sv02'!$X$5*($B18-$R18/3600)^3+'sv02'!$W$5*($B18-$R18/3600)^4+'sv02'!$V$5*($B18-$R18/3600)^5+'sv02'!$U$5*($B18-$R18/3600)^6+'sv02'!$T$5*($B18-$R18/3600)^7+'sv02'!$S$5*($B18-$R18/3600)^8</f>
        <v>21221.718542190356</v>
      </c>
      <c r="W18">
        <f>coord!$B$6*P18/10^6</f>
        <v>77223.590484888206</v>
      </c>
      <c r="X18">
        <f>SQRT(($T18*1000+coord!$B$7*$R18*$U18*1000-coord!$B$2)^2+($U18*1000-coord!$B$7*$R18*$T18*1000-coord!$C$2)^2+($V18*1000-coord!$D$2)^2)</f>
        <v>22950969.909478698</v>
      </c>
      <c r="Y18" s="3">
        <f>$D18-(X18-$W18)-coord!$E$2</f>
        <v>-20.598279770463705</v>
      </c>
      <c r="Z18" s="3"/>
      <c r="AB18">
        <f>-(T18*1000-coord!$B$2)/$X18</f>
        <v>-6.565545743885752E-2</v>
      </c>
      <c r="AC18">
        <f>-(U18*1000-coord!$C$2)/$X18</f>
        <v>0.68271194010168312</v>
      </c>
      <c r="AD18">
        <f>-(V18*1000-coord!$D$2)/$X18</f>
        <v>-0.72773091219087926</v>
      </c>
      <c r="AE18">
        <v>1</v>
      </c>
      <c r="AG18">
        <f t="array" ref="AG18:AM21">TRANSPOSE(AB18:AE24)</f>
        <v>-6.565545743885752E-2</v>
      </c>
      <c r="AH18">
        <v>-0.2490088341914603</v>
      </c>
      <c r="AI18">
        <v>-0.12625153347137469</v>
      </c>
      <c r="AJ18">
        <v>-0.77528865156711535</v>
      </c>
      <c r="AK18">
        <v>-0.43080887976299354</v>
      </c>
      <c r="AL18">
        <v>-0.55017013660189551</v>
      </c>
      <c r="AM18">
        <v>-0.96491960336805516</v>
      </c>
      <c r="AO18">
        <f t="array" ref="AO18:AR21">MMULT(AG18:AM21,AB18:AE24)</f>
        <v>2.1026812926046841</v>
      </c>
      <c r="AP18">
        <v>0.37604077848495032</v>
      </c>
      <c r="AQ18">
        <v>1.1179559277064315</v>
      </c>
      <c r="AR18">
        <v>-3.162103096401752</v>
      </c>
      <c r="AT18">
        <f t="array" ref="AT18:AW21">MINVERSE(AO18:AR21)</f>
        <v>2.4574600152454078</v>
      </c>
      <c r="AU18">
        <v>-0.15402598384775149</v>
      </c>
      <c r="AV18">
        <v>1.3326196726660609</v>
      </c>
      <c r="AW18">
        <v>1.7707029284763605</v>
      </c>
      <c r="AY18">
        <f t="array" ref="AY18:AY21">MMULT(AG18:AM21,Y18:Y24)</f>
        <v>1.103022219715317</v>
      </c>
      <c r="BA18">
        <f t="array" ref="BA18:BA21">MMULT(AT18:AW21,AY18:AY21)</f>
        <v>10.567259752014763</v>
      </c>
      <c r="BD18">
        <f>SQRT(($T18*1000+coord!$B$7*$R18*$U18*1000-coord!$B$2-BA$18)^2+($U18*1000-coord!$B$7*$R18*$T18*1000-coord!$C$2-BA$19)^2+($V18*1000-coord!$D$2-BA$20)^2)</f>
        <v>22950946.009288952</v>
      </c>
      <c r="BE18" s="3">
        <f>$D18-(BD18-$W18)-BA$21</f>
        <v>-4.9148618631510885</v>
      </c>
      <c r="BG18" s="1">
        <f>coord!$B$2+$BA18</f>
        <v>4388888.7380597526</v>
      </c>
      <c r="BH18" s="1">
        <f>coord!$C$2+$BA19</f>
        <v>924548.60761326784</v>
      </c>
      <c r="BI18" s="1">
        <f>coord!$D$2+$BA20</f>
        <v>4519599.8939925404</v>
      </c>
      <c r="BJ18" s="1">
        <f>coord!$E$2+$BA21</f>
        <v>8.2167718388586195</v>
      </c>
      <c r="BK18" s="8">
        <f>lat($BG18,$BH18,$BI18)</f>
        <v>45.41120695021138</v>
      </c>
      <c r="BL18" s="8">
        <f>lon($BG18,$BH18,$BI18)</f>
        <v>11.895808634962814</v>
      </c>
      <c r="BM18" s="6">
        <f>h($BG18,$BH18,$BI18)</f>
        <v>74.528803972527385</v>
      </c>
      <c r="BO18">
        <f>grado($BK18)</f>
        <v>45</v>
      </c>
      <c r="BP18">
        <f>MINUTOprimo($BK18)</f>
        <v>24</v>
      </c>
      <c r="BQ18">
        <f>MINUTOsecondo($BK18)</f>
        <v>40.345020760967145</v>
      </c>
      <c r="BR18">
        <f>grado($BL18)</f>
        <v>11</v>
      </c>
      <c r="BS18">
        <f>MINUTOprimo($BL18)</f>
        <v>53</v>
      </c>
      <c r="BT18">
        <f>MINUTOsecondo($BL18)</f>
        <v>44.911085866128957</v>
      </c>
      <c r="BV18">
        <f>-SIN(RADIANS(BK18))*COS(RADIANS(BL18))</f>
        <v>-0.69686899933568169</v>
      </c>
      <c r="BW18">
        <f>-SIN(RADIANS(BL18))</f>
        <v>-0.20613260385969612</v>
      </c>
      <c r="BX18">
        <f>COS(RADIANS(BK18))*COS(RADIANS(BL18))</f>
        <v>0.68693736788073134</v>
      </c>
      <c r="BZ18" t="s">
        <v>93</v>
      </c>
      <c r="CA18">
        <f t="array" ref="CA18:CC20">MINVERSE(BV18:BX20)</f>
        <v>-0.69686899933568169</v>
      </c>
      <c r="CB18">
        <v>-0.14680009029106553</v>
      </c>
      <c r="CC18">
        <v>0.70201376856541831</v>
      </c>
      <c r="CD18">
        <v>0</v>
      </c>
      <c r="CE18" s="1">
        <f t="array" ref="CE18:CE20">MMULT(CA18:CC20,BA18:BA20)</f>
        <v>3.9648905037240354</v>
      </c>
      <c r="CG18" s="1">
        <f t="array" ref="CG18:CI18">TRANSPOSE(CE18:CE20)</f>
        <v>3.9648905037240354</v>
      </c>
      <c r="CH18" s="1">
        <v>-23.319843366592181</v>
      </c>
      <c r="CI18" s="1">
        <v>12.407665376189602</v>
      </c>
      <c r="CK18">
        <f t="array" ref="CK18:CN21">MMULT(CA18:CD21,AT18:AW21)</f>
        <v>-0.75439931492278056</v>
      </c>
      <c r="CL18">
        <v>0.18963180651741851</v>
      </c>
      <c r="CM18">
        <v>0.6002471006415947</v>
      </c>
      <c r="CN18">
        <v>-4.6498556949128078E-2</v>
      </c>
      <c r="CP18">
        <f t="array" ref="CP18:CS21">TRANSPOSE(CA18:CD21)</f>
        <v>-0.69686899933568169</v>
      </c>
      <c r="CQ18">
        <v>-0.20613260385969615</v>
      </c>
      <c r="CR18">
        <v>0.68693736788073134</v>
      </c>
      <c r="CS18">
        <v>0</v>
      </c>
      <c r="CU18" s="5">
        <f t="array" ref="CU18:CX21">MMULT(CK18:CN21,CP18:CS21)</f>
        <v>0.91926125856281882</v>
      </c>
      <c r="CV18" s="5">
        <v>0.34106558167398932</v>
      </c>
      <c r="CW18" s="5">
        <v>-6.3309854924385567E-2</v>
      </c>
      <c r="CX18" s="5">
        <v>-4.6498556949128078E-2</v>
      </c>
      <c r="CZ18" s="3">
        <f>SQRT(CU18+CV19)</f>
        <v>1.2443914036994563</v>
      </c>
      <c r="DA18" s="3">
        <f>CW20</f>
        <v>3.615710526933797</v>
      </c>
      <c r="DB18" s="3">
        <f>CX21</f>
        <v>1.7816880275130376</v>
      </c>
      <c r="DC18" s="3">
        <f>BG25</f>
        <v>3.9815054310821223</v>
      </c>
      <c r="DD18">
        <v>6</v>
      </c>
      <c r="DE18" s="6">
        <f>DB18*DD18*DC18</f>
        <v>42.562803348222914</v>
      </c>
      <c r="DF18">
        <v>5.33</v>
      </c>
      <c r="DG18" s="6">
        <f>DC18*DF18*SQRT(0.5*(CU18+CV19)+SQRT((0.5*(CU18-CV19))^2+CV18^2))</f>
        <v>22.706586792405577</v>
      </c>
    </row>
    <row r="19" spans="1:111">
      <c r="A19">
        <v>4</v>
      </c>
      <c r="B19">
        <f t="shared" si="11"/>
        <v>0.28333333333333333</v>
      </c>
      <c r="C19">
        <v>23</v>
      </c>
      <c r="D19">
        <f>tetto!D19*coord!$B$13-tetto!G19*coord!$B$14</f>
        <v>20893006.259638038</v>
      </c>
      <c r="E19" s="5">
        <f>90-DEGREES(ACOS((coord!$B$2*($T19*1000-coord!$B$2)+coord!$C$2*($U19*1000-coord!$C$2)+coord!$D$2*($V19*1000-coord!$D$2))/(SQRT(coord!$B$2^2+coord!$C$2^2+coord!$D$2^2)*SQRT(($T19*1000-coord!$B$2)^2+($U19*1000-coord!$C$2)^2+($V19*1000-coord!$D$2)^2))))</f>
        <v>55.916507568354952</v>
      </c>
      <c r="F19">
        <f>(coord!$C$2*($V19*1000-coord!$D$2)-coord!$D$2*($U19*1000-coord!$C$2))/(SQRT(coord!$B$2^2+coord!$C$2^2+coord!$D$2^2)*SQRT(($T19*1000-coord!$B$2)^2+($U19*1000-coord!$C$2)^2+($V19*1000-coord!$D$2)^2))</f>
        <v>-0.24748594590576989</v>
      </c>
      <c r="G19">
        <f>(-coord!$B$2*($V19*1000-coord!$D$2)+coord!$D$2*($T19*1000-coord!$B$2))/(SQRT(coord!$B$2^2+coord!$C$2^2+coord!$D$2^2)*SQRT(($T19*1000-coord!$B$2)^2+($U19*1000-coord!$C$2)^2+($V19*1000-coord!$D$2)^2))</f>
        <v>-0.38805105274463936</v>
      </c>
      <c r="H19">
        <f>(coord!$B$2*($U19*1000-coord!$C$2)-coord!$C$2*($T19*1000-coord!$B$2))/(SQRT(coord!$B$2^2+coord!$C$2^2+coord!$D$2^2)*SQRT(($T19*1000-coord!$B$2)^2+($U19*1000-coord!$C$2)^2+($V19*1000-coord!$D$2)^2))</f>
        <v>0.31971189020708252</v>
      </c>
      <c r="I19">
        <f t="shared" si="5"/>
        <v>0.45387337689038809</v>
      </c>
      <c r="J19">
        <f t="shared" si="6"/>
        <v>-0.32870235149507171</v>
      </c>
      <c r="K19">
        <f t="shared" si="7"/>
        <v>1.5256371154944715E-3</v>
      </c>
      <c r="L19">
        <f t="shared" si="12"/>
        <v>54.087343529110136</v>
      </c>
      <c r="M19" s="5">
        <f>'sv23'!$AA$3+'sv23'!$Z$3*($B19)+'sv23'!$Y$3*($B19)^2+'sv23'!$X$3*($B19)^3+'sv23'!$W$3*($B19)^4+'sv23'!$V$3*($B19)^5+'sv23'!$U$3*($B19)^6+'sv23'!$T$3*($B19)^7+'sv23'!$S$3*($B19)^8</f>
        <v>9618.8567415133184</v>
      </c>
      <c r="N19" s="5">
        <f>'sv23'!$AA$4+'sv23'!$Z$4*($B19)+'sv23'!$Y$4*($B19)^2+'sv23'!$X$4*($B19)^3+'sv23'!$W$4*($B19)^4+'sv23'!$V$4*($B19)^5+'sv23'!$U$4*($B19)^6+'sv23'!$T$4*($B19)^7+'sv23'!$S$4*($B19)^8</f>
        <v>11769.014843668674</v>
      </c>
      <c r="O19" s="5">
        <f>'sv23'!$AA$5+'sv23'!$Z$5*($B19)+'sv23'!$Y$5*($B19)^2+'sv23'!$X$5*($B19)^3+'sv23'!$W$5*($B19)^4+'sv23'!$V$5*($B19)^5+'sv23'!$U$5*($B19)^6+'sv23'!$T$5*($B19)^7+'sv23'!$S$5*($B19)^8</f>
        <v>21730.420918310836</v>
      </c>
      <c r="P19" s="5">
        <f>'sv23'!$AA$6+'sv23'!$Z$6*$B19+'sv23'!$Y$6*$B19^2+'sv23'!$X$6*$B19^3+'sv23'!$W$6*$B19^4+'sv23'!$V$6*$B19^5+'sv23'!$U$6*$B19^6+'sv23'!$T$6*$B19^7+'sv23'!$S$6*$B19^8</f>
        <v>370.05749217799814</v>
      </c>
      <c r="R19">
        <f>SQRT(($M19*1000-coord!$B$2)^2+($N19*1000-coord!$C$2)^2+($O19*1000-coord!$D$2)^2)/coord!$B$6</f>
        <v>7.0061754872251872E-2</v>
      </c>
      <c r="T19" s="5">
        <f>'sv23'!$AA$3+'sv23'!$Z$3*($B19-$R19/3600)+'sv23'!$Y$3*($B19-$R19/3600)^2+'sv23'!$X$3*($B19-$R19/3600)^3+'sv23'!$W$3*($B19-$R19/3600)^4+'sv23'!$V$3*($B19-$R19/3600)^5+'sv23'!$U$3*($B19-$R19/3600)^6+'sv23'!$T$3*($B19-$R19/3600)^7+'sv23'!$S$3*($B19-$R19/3600)^8+N19*coord!$B$7*R19</f>
        <v>9619.0451662603573</v>
      </c>
      <c r="U19" s="5">
        <f>'sv23'!$AA$4+'sv23'!$Z$4*($B19-$R19/3600)+'sv23'!$Y$4*($B19-$R19/3600)^2+'sv23'!$X$4*($B19-$R19/3600)^3+'sv23'!$W$4*($B19-$R19/3600)^4+'sv23'!$V$4*($B19-$R19/3600)^5+'sv23'!$U$4*($B19-$R19/3600)^6+'sv23'!$T$4*($B19-$R19/3600)^7+'sv23'!$S$4*($B19-$R19/3600)^8-M19*coord!$B$7*R19</f>
        <v>11768.820395955368</v>
      </c>
      <c r="V19" s="5">
        <f>'sv23'!$AA$5+'sv23'!$Z$5*($B19-$R19/3600)+'sv23'!$Y$5*($B19-$R19/3600)^2+'sv23'!$X$5*($B19-$R19/3600)^3+'sv23'!$W$5*($B19-$R19/3600)^4+'sv23'!$V$5*($B19-$R19/3600)^5+'sv23'!$U$5*($B19-$R19/3600)^6+'sv23'!$T$5*($B19-$R19/3600)^7+'sv23'!$S$5*($B19-$R19/3600)^8</f>
        <v>21730.444968422467</v>
      </c>
      <c r="W19">
        <f>coord!$B$6*P19/10^6</f>
        <v>110940.44518135783</v>
      </c>
      <c r="X19">
        <f>SQRT(($T19*1000+coord!$B$7*$R19*$U19*1000-coord!$B$2)^2+($U19*1000-coord!$B$7*$R19*$T19*1000-coord!$C$2)^2+($V19*1000-coord!$D$2)^2)</f>
        <v>21003941.536624104</v>
      </c>
      <c r="Y19" s="3">
        <f>$D19-(X19-$W19)-coord!$E$2</f>
        <v>5.1681952923536301</v>
      </c>
      <c r="Z19" s="3"/>
      <c r="AB19">
        <f>-(T19*1000-coord!$B$2)/$X19</f>
        <v>-0.2490088341914603</v>
      </c>
      <c r="AC19">
        <f>-(U19*1000-coord!$C$2)/$X19</f>
        <v>-0.51629596111027509</v>
      </c>
      <c r="AD19">
        <f>-(V19*1000-coord!$D$2)/$X19</f>
        <v>-0.81941080744832029</v>
      </c>
      <c r="AE19">
        <v>1</v>
      </c>
      <c r="AG19">
        <v>0.68271194010168312</v>
      </c>
      <c r="AH19">
        <v>-0.51629596111027509</v>
      </c>
      <c r="AI19">
        <v>0.81002019543010417</v>
      </c>
      <c r="AJ19">
        <v>0.39298697255122622</v>
      </c>
      <c r="AK19">
        <v>-0.89441189052219916</v>
      </c>
      <c r="AL19">
        <v>-0.14293375596515456</v>
      </c>
      <c r="AM19">
        <v>-0.2438425442055146</v>
      </c>
      <c r="AO19">
        <v>0.37604077848495032</v>
      </c>
      <c r="AP19">
        <v>2.4230904650822085</v>
      </c>
      <c r="AQ19">
        <v>-0.53062715069798816</v>
      </c>
      <c r="AR19">
        <v>8.8234956279870158E-2</v>
      </c>
      <c r="AT19">
        <v>-0.1540259838477516</v>
      </c>
      <c r="AU19">
        <v>0.48322639444973758</v>
      </c>
      <c r="AV19">
        <v>0.21827713141741636</v>
      </c>
      <c r="AW19">
        <v>3.2215738888600187E-2</v>
      </c>
      <c r="AY19">
        <v>-53.819288460193519</v>
      </c>
      <c r="BA19">
        <v>-21.605586732129581</v>
      </c>
      <c r="BD19">
        <f>SQRT(($T19*1000+coord!$B$7*$R19*$U19*1000-coord!$B$2-BA$18)^2+($U19*1000-coord!$B$7*$R19*$T19*1000-coord!$C$2-BA$19)^2+($V19*1000-coord!$D$2-BA$20)^2)</f>
        <v>21003940.538794748</v>
      </c>
      <c r="BE19" s="3">
        <f t="shared" ref="BE19:BE24" si="13">$D19-(BD19-$W19)-BA$21</f>
        <v>-2.0507471912055166</v>
      </c>
      <c r="BG19" s="1"/>
      <c r="BH19" s="1"/>
      <c r="BI19" s="1"/>
      <c r="BV19">
        <f>-SIN(RADIANS(BK18))*SIN(RADIANS(BL18))</f>
        <v>-0.1468000902910655</v>
      </c>
      <c r="BW19">
        <f>COS(RADIANS(BL18))</f>
        <v>0.97852406696310823</v>
      </c>
      <c r="BX19">
        <f>COS(RADIANS(BK18))*SIN(RADIANS(BL18))</f>
        <v>0.14470792605974775</v>
      </c>
      <c r="BZ19" t="s">
        <v>94</v>
      </c>
      <c r="CA19">
        <v>-0.20613260385969615</v>
      </c>
      <c r="CB19">
        <v>0.97852406696310834</v>
      </c>
      <c r="CC19">
        <v>-2.8364734759942636E-17</v>
      </c>
      <c r="CD19">
        <v>0</v>
      </c>
      <c r="CE19" s="1">
        <v>-23.319843366592181</v>
      </c>
      <c r="CG19" s="1"/>
      <c r="CH19" s="1"/>
      <c r="CI19" s="1"/>
      <c r="CK19">
        <v>-0.6572807639563204</v>
      </c>
      <c r="CL19">
        <v>0.50459843387346492</v>
      </c>
      <c r="CM19">
        <v>-6.1106936721700013E-2</v>
      </c>
      <c r="CN19">
        <v>-0.33347572947132692</v>
      </c>
      <c r="CP19">
        <v>-0.14680009029106553</v>
      </c>
      <c r="CQ19">
        <v>0.97852406696310834</v>
      </c>
      <c r="CR19">
        <v>0.14470792605974778</v>
      </c>
      <c r="CS19">
        <v>0</v>
      </c>
      <c r="CU19" s="5">
        <v>0.34106558167398932</v>
      </c>
      <c r="CV19" s="5">
        <v>0.62924870703828462</v>
      </c>
      <c r="CW19" s="5">
        <v>-0.42200944721427508</v>
      </c>
      <c r="CX19" s="5">
        <v>-0.33347572947132692</v>
      </c>
    </row>
    <row r="20" spans="1:111">
      <c r="A20">
        <v>4</v>
      </c>
      <c r="B20">
        <f t="shared" si="11"/>
        <v>0.28333333333333333</v>
      </c>
      <c r="C20">
        <v>10</v>
      </c>
      <c r="D20">
        <f>tetto!D20*coord!$B$13-tetto!G20*coord!$B$14</f>
        <v>23276696.057741098</v>
      </c>
      <c r="E20" s="5">
        <f>90-DEGREES(ACOS((coord!$B$2*($T20*1000-coord!$B$2)+coord!$C$2*($U20*1000-coord!$C$2)+coord!$D$2*($V20*1000-coord!$D$2))/(SQRT(coord!$B$2^2+coord!$C$2^2+coord!$D$2^2)*SQRT(($T20*1000-coord!$B$2)^2+($U20*1000-coord!$C$2)^2+($V20*1000-coord!$D$2)^2))))</f>
        <v>22.078139604485628</v>
      </c>
      <c r="F20">
        <f>(coord!$C$2*($V20*1000-coord!$D$2)-coord!$D$2*($U20*1000-coord!$C$2))/(SQRT(coord!$B$2^2+coord!$C$2^2+coord!$D$2^2)*SQRT(($T20*1000-coord!$B$2)^2+($U20*1000-coord!$C$2)^2+($V20*1000-coord!$D$2)^2))</f>
        <v>0.65810475889241526</v>
      </c>
      <c r="G20">
        <f>(-coord!$B$2*($V20*1000-coord!$D$2)+coord!$D$2*($T20*1000-coord!$B$2))/(SQRT(coord!$B$2^2+coord!$C$2^2+coord!$D$2^2)*SQRT(($T20*1000-coord!$B$2)^2+($U20*1000-coord!$C$2)^2+($V20*1000-coord!$D$2)^2))</f>
        <v>-0.30509797532158134</v>
      </c>
      <c r="H20">
        <f>(coord!$B$2*($U20*1000-coord!$C$2)-coord!$C$2*($T20*1000-coord!$B$2))/(SQRT(coord!$B$2^2+coord!$C$2^2+coord!$D$2^2)*SQRT(($T20*1000-coord!$B$2)^2+($U20*1000-coord!$C$2)^2+($V20*1000-coord!$D$2)^2))</f>
        <v>-0.57665808302332955</v>
      </c>
      <c r="I20">
        <f t="shared" si="5"/>
        <v>-0.81864628917535032</v>
      </c>
      <c r="J20">
        <f t="shared" si="6"/>
        <v>-0.43420259595201538</v>
      </c>
      <c r="K20">
        <f t="shared" si="7"/>
        <v>-2.7480586371474991E-3</v>
      </c>
      <c r="L20">
        <f t="shared" si="12"/>
        <v>-62.058924871844454</v>
      </c>
      <c r="M20" s="5">
        <f>'sv10'!$AA$3+'sv10'!$Z$3*($B20)+'sv10'!$Y$3*($B20)^2+'sv10'!$X$3*($B20)^3+'sv10'!$W$3*($B20)^4+'sv10'!$V$3*($B20)^5+'sv10'!$U$3*($B20)^6+'sv10'!$T$3*($B20)^7+'sv10'!$S$3*($B20)^8</f>
        <v>7326.144070368975</v>
      </c>
      <c r="N20" s="5">
        <f>'sv10'!$AA$4+'sv10'!$Z$4*($B20)+'sv10'!$Y$4*($B20)^2+'sv10'!$X$4*($B20)^3+'sv10'!$W$4*($B20)^4+'sv10'!$V$4*($B20)^5+'sv10'!$U$4*($B20)^6+'sv10'!$T$4*($B20)^7+'sv10'!$S$4*($B20)^8</f>
        <v>-17919.38548833922</v>
      </c>
      <c r="O20" s="5">
        <f>'sv10'!$AA$5+'sv10'!$Z$5*($B20)+'sv10'!$Y$5*($B20)^2+'sv10'!$X$5*($B20)^3+'sv10'!$W$5*($B20)^4+'sv10'!$V$5*($B20)^5+'sv10'!$U$5*($B20)^6+'sv10'!$T$5*($B20)^7+'sv10'!$S$5*($B20)^8</f>
        <v>17841.711986809361</v>
      </c>
      <c r="P20" s="5">
        <f>'sv10'!$AA$6+'sv10'!$Z$6*$B20+'sv10'!$Y$6*$B20^2+'sv10'!$X$6*$B20^3+'sv10'!$W$6*$B20^4+'sv10'!$V$6*$B20^5+'sv10'!$U$6*$B20^6+'sv10'!$T$6*$B20^7+'sv10'!$S$6*$B20^8</f>
        <v>-43.000632997771895</v>
      </c>
      <c r="R20">
        <f>SQRT(($M20*1000-coord!$B$2)^2+($N20*1000-coord!$C$2)^2+($O20*1000-coord!$D$2)^2)/coord!$B$6</f>
        <v>7.7599453648667965E-2</v>
      </c>
      <c r="T20" s="5">
        <f>'sv10'!$AA$3+'sv10'!$Z$3*($B20-$R20/3600)+'sv10'!$Y$3*($B20-$R20/3600)^2+'sv10'!$X$3*($B20-$R20/3600)^3+'sv10'!$W$3*($B20-$R20/3600)^4+'sv10'!$V$3*($B20-$R20/3600)^5+'sv10'!$U$3*($B20-$R20/3600)^6+'sv10'!$T$3*($B20-$R20/3600)^7+'sv10'!$S$3*($B20-$R20/3600)^8+N20*coord!$B$7*R20</f>
        <v>7325.9709323160187</v>
      </c>
      <c r="U20" s="5">
        <f>'sv10'!$AA$4+'sv10'!$Z$4*($B20-$R20/3600)+'sv10'!$Y$4*($B20-$R20/3600)^2+'sv10'!$X$4*($B20-$R20/3600)^3+'sv10'!$W$4*($B20-$R20/3600)^4+'sv10'!$V$4*($B20-$R20/3600)^5+'sv10'!$U$4*($B20-$R20/3600)^6+'sv10'!$T$4*($B20-$R20/3600)^7+'sv10'!$S$4*($B20-$R20/3600)^8-M20*coord!$B$7*R20</f>
        <v>-17919.592604188427</v>
      </c>
      <c r="V20" s="5">
        <f>'sv10'!$AA$5+'sv10'!$Z$5*($B20-$R20/3600)+'sv10'!$Y$5*($B20-$R20/3600)^2+'sv10'!$X$5*($B20-$R20/3600)^3+'sv10'!$W$5*($B20-$R20/3600)^4+'sv10'!$V$5*($B20-$R20/3600)^5+'sv10'!$U$5*($B20-$R20/3600)^6+'sv10'!$T$5*($B20-$R20/3600)^7+'sv10'!$S$5*($B20-$R20/3600)^8</f>
        <v>17841.573818317418</v>
      </c>
      <c r="W20">
        <f>coord!$B$6*P20/10^6</f>
        <v>-12891.265461957944</v>
      </c>
      <c r="X20">
        <f>SQRT(($T20*1000+coord!$B$7*$R20*$U20*1000-coord!$B$2)^2+($U20*1000-coord!$B$7*$R20*$T20*1000-coord!$C$2)^2+($V20*1000-coord!$D$2)^2)</f>
        <v>23263818.511811994</v>
      </c>
      <c r="Y20" s="3">
        <f>$D20-(X20-$W20)-coord!$E$2</f>
        <v>-13.719532854855061</v>
      </c>
      <c r="Z20" s="3"/>
      <c r="AB20">
        <f>-(T20*1000-coord!$B$2)/$X20</f>
        <v>-0.12625153347137469</v>
      </c>
      <c r="AC20">
        <f>-(U20*1000-coord!$C$2)/$X20</f>
        <v>0.81002019543010417</v>
      </c>
      <c r="AD20">
        <f>-(V20*1000-coord!$D$2)/$X20</f>
        <v>-0.57264827514250505</v>
      </c>
      <c r="AE20">
        <v>1</v>
      </c>
      <c r="AG20">
        <v>-0.72773091219087926</v>
      </c>
      <c r="AH20">
        <v>-0.81941080744832029</v>
      </c>
      <c r="AI20">
        <v>-0.57264827514250505</v>
      </c>
      <c r="AJ20">
        <v>-0.4944568316388655</v>
      </c>
      <c r="AK20">
        <v>-0.12013656836104596</v>
      </c>
      <c r="AL20">
        <v>-0.82272888602605587</v>
      </c>
      <c r="AM20">
        <v>9.73193672986499E-2</v>
      </c>
      <c r="AO20">
        <v>1.1179559277064315</v>
      </c>
      <c r="AP20">
        <v>-0.53062715069798816</v>
      </c>
      <c r="AQ20">
        <v>2.4742266315099615</v>
      </c>
      <c r="AR20">
        <v>-3.459792913509022</v>
      </c>
      <c r="AT20">
        <v>1.3326196726660611</v>
      </c>
      <c r="AU20">
        <v>0.21827713141741642</v>
      </c>
      <c r="AV20">
        <v>2.2235340828397554</v>
      </c>
      <c r="AW20">
        <v>1.6982269404100712</v>
      </c>
      <c r="AY20">
        <v>23.599665359283701</v>
      </c>
      <c r="BA20">
        <v>11.619692540264722</v>
      </c>
      <c r="BD20">
        <f>SQRT(($T20*1000+coord!$B$7*$R20*$U20*1000-coord!$B$2-BA$18)^2+($U20*1000-coord!$B$7*$R20*$T20*1000-coord!$C$2-BA$19)^2+($V20*1000-coord!$D$2-BA$20)^2)</f>
        <v>23263793.022729695</v>
      </c>
      <c r="BE20" s="3">
        <f t="shared" si="13"/>
        <v>3.5527776054591982</v>
      </c>
      <c r="BG20" s="1"/>
      <c r="BH20" s="1"/>
      <c r="BI20" s="1"/>
      <c r="BV20">
        <f>COS(RADIANS(BK18))</f>
        <v>0.70201376856541831</v>
      </c>
      <c r="BW20">
        <v>0</v>
      </c>
      <c r="BX20">
        <f>SIN(RADIANS(BK18))</f>
        <v>0.71216337222899873</v>
      </c>
      <c r="BZ20" t="s">
        <v>95</v>
      </c>
      <c r="CA20">
        <v>0.68693736788073134</v>
      </c>
      <c r="CB20">
        <v>0.14470792605974778</v>
      </c>
      <c r="CC20">
        <v>0.71216337222899873</v>
      </c>
      <c r="CD20">
        <v>0</v>
      </c>
      <c r="CE20" s="1">
        <v>12.407665376189602</v>
      </c>
      <c r="CG20" s="1"/>
      <c r="CH20" s="1"/>
      <c r="CI20" s="1"/>
      <c r="CK20">
        <v>2.6148752538474684</v>
      </c>
      <c r="CL20">
        <v>0.11956946341923629</v>
      </c>
      <c r="CM20">
        <v>2.5305322120222646</v>
      </c>
      <c r="CN20">
        <v>2.4304389064398766</v>
      </c>
      <c r="CP20">
        <v>0.70201376856541831</v>
      </c>
      <c r="CQ20">
        <v>-2.8364734759942636E-17</v>
      </c>
      <c r="CR20">
        <v>0.71216337222899873</v>
      </c>
      <c r="CS20">
        <v>0</v>
      </c>
      <c r="CU20" s="5">
        <v>-6.3309854924386011E-2</v>
      </c>
      <c r="CV20" s="5">
        <v>-0.42200944721427497</v>
      </c>
      <c r="CW20" s="5">
        <v>3.615710526933797</v>
      </c>
      <c r="CX20" s="5">
        <v>2.4304389064398766</v>
      </c>
    </row>
    <row r="21" spans="1:111">
      <c r="A21">
        <v>4</v>
      </c>
      <c r="B21">
        <f t="shared" si="11"/>
        <v>0.28333333333333333</v>
      </c>
      <c r="C21">
        <v>4</v>
      </c>
      <c r="D21">
        <f>tetto!D21*coord!$B$13-tetto!G21*coord!$B$14</f>
        <v>21064692.151680984</v>
      </c>
      <c r="E21" s="5">
        <f>90-DEGREES(ACOS((coord!$B$2*($T21*1000-coord!$B$2)+coord!$C$2*($U21*1000-coord!$C$2)+coord!$D$2*($V21*1000-coord!$D$2))/(SQRT(coord!$B$2^2+coord!$C$2^2+coord!$D$2^2)*SQRT(($T21*1000-coord!$B$2)^2+($U21*1000-coord!$C$2)^2+($V21*1000-coord!$D$2)^2))))</f>
        <v>55.92340705618814</v>
      </c>
      <c r="F21">
        <f>(coord!$C$2*($V21*1000-coord!$D$2)-coord!$D$2*($U21*1000-coord!$C$2))/(SQRT(coord!$B$2^2+coord!$C$2^2+coord!$D$2^2)*SQRT(($T21*1000-coord!$B$2)^2+($U21*1000-coord!$C$2)^2+($V21*1000-coord!$D$2)^2))</f>
        <v>0.35073991405959742</v>
      </c>
      <c r="G21">
        <f>(-coord!$B$2*($V21*1000-coord!$D$2)+coord!$D$2*($T21*1000-coord!$B$2))/(SQRT(coord!$B$2^2+coord!$C$2^2+coord!$D$2^2)*SQRT(($T21*1000-coord!$B$2)^2+($U21*1000-coord!$C$2)^2+($V21*1000-coord!$D$2)^2))</f>
        <v>0.20948517026601512</v>
      </c>
      <c r="H21">
        <f>(coord!$B$2*($U21*1000-coord!$C$2)-coord!$C$2*($T21*1000-coord!$B$2))/(SQRT(coord!$B$2^2+coord!$C$2^2+coord!$D$2^2)*SQRT(($T21*1000-coord!$B$2)^2+($U21*1000-coord!$C$2)^2+($V21*1000-coord!$D$2)^2))</f>
        <v>-0.38345052597693502</v>
      </c>
      <c r="I21">
        <f t="shared" si="5"/>
        <v>-0.54435976978057665</v>
      </c>
      <c r="J21">
        <f t="shared" si="6"/>
        <v>0.13268732457419946</v>
      </c>
      <c r="K21">
        <f t="shared" si="7"/>
        <v>-1.8288492780968446E-3</v>
      </c>
      <c r="L21">
        <f t="shared" si="12"/>
        <v>256.30131968410547</v>
      </c>
      <c r="M21" s="5">
        <f>'sv04'!$AA$3+'sv04'!$Z$3*($B21)+'sv04'!$Y$3*($B21)^2+'sv04'!$X$3*($B21)^3+'sv04'!$W$3*($B21)^4+'sv04'!$V$3*($B21)^5+'sv04'!$U$3*($B21)^6+'sv04'!$T$3*($B21)^7+'sv04'!$S$3*($B21)^8</f>
        <v>20740.39760412155</v>
      </c>
      <c r="N21" s="5">
        <f>'sv04'!$AA$4+'sv04'!$Z$4*($B21)+'sv04'!$Y$4*($B21)^2+'sv04'!$X$4*($B21)^3+'sv04'!$W$4*($B21)^4+'sv04'!$V$4*($B21)^5+'sv04'!$U$4*($B21)^6+'sv04'!$T$4*($B21)^7+'sv04'!$S$4*($B21)^8</f>
        <v>-7363.639080106931</v>
      </c>
      <c r="O21" s="5">
        <f>'sv04'!$AA$5+'sv04'!$Z$5*($B21)+'sv04'!$Y$5*($B21)^2+'sv04'!$X$5*($B21)^3+'sv04'!$W$5*($B21)^4+'sv04'!$V$5*($B21)^5+'sv04'!$U$5*($B21)^6+'sv04'!$T$5*($B21)^7+'sv04'!$S$5*($B21)^8</f>
        <v>14947.854407665878</v>
      </c>
      <c r="P21" s="5">
        <f>'sv04'!$AA$6+'sv04'!$Z$6*$B21+'sv04'!$Y$6*$B21^2+'sv04'!$X$6*$B21^3+'sv04'!$W$6*$B21^4+'sv04'!$V$6*$B21^5+'sv04'!$U$6*$B21^6+'sv04'!$T$6*$B21^7+'sv04'!$S$6*$B21^8</f>
        <v>86.595854647334207</v>
      </c>
      <c r="R21">
        <f>SQRT(($M21*1000-coord!$B$2)^2+($N21*1000-coord!$C$2)^2+($O21*1000-coord!$D$2)^2)/coord!$B$6</f>
        <v>7.0350821466912378E-2</v>
      </c>
      <c r="T21" s="5">
        <f>'sv04'!$AA$3+'sv04'!$Z$3*($B21-$R21/3600)+'sv04'!$Y$3*($B21-$R21/3600)^2+'sv04'!$X$3*($B21-$R21/3600)^3+'sv04'!$W$3*($B21-$R21/3600)^4+'sv04'!$V$3*($B21-$R21/3600)^5+'sv04'!$U$3*($B21-$R21/3600)^6+'sv04'!$T$3*($B21-$R21/3600)^7+'sv04'!$S$3*($B21-$R21/3600)^8+N21*coord!$B$7*R21</f>
        <v>20740.229843189358</v>
      </c>
      <c r="U21" s="5">
        <f>'sv04'!$AA$4+'sv04'!$Z$4*($B21-$R21/3600)+'sv04'!$Y$4*($B21-$R21/3600)^2+'sv04'!$X$4*($B21-$R21/3600)^3+'sv04'!$W$4*($B21-$R21/3600)^4+'sv04'!$V$4*($B21-$R21/3600)^5+'sv04'!$U$4*($B21-$R21/3600)^6+'sv04'!$T$4*($B21-$R21/3600)^7+'sv04'!$S$4*($B21-$R21/3600)^8-M21*coord!$B$7*R21</f>
        <v>-7363.7855854614581</v>
      </c>
      <c r="V21" s="5">
        <f>'sv04'!$AA$5+'sv04'!$Z$5*($B21-$R21/3600)+'sv04'!$Y$5*($B21-$R21/3600)^2+'sv04'!$X$5*($B21-$R21/3600)^3+'sv04'!$W$5*($B21-$R21/3600)^4+'sv04'!$V$5*($B21-$R21/3600)^5+'sv04'!$U$5*($B21-$R21/3600)^6+'sv04'!$T$5*($B21-$R21/3600)^7+'sv04'!$S$5*($B21-$R21/3600)^8</f>
        <v>14948.010674911649</v>
      </c>
      <c r="W21">
        <f>coord!$B$6*P21/10^6</f>
        <v>25960.784117335046</v>
      </c>
      <c r="X21">
        <f>SQRT(($T21*1000+coord!$B$7*$R21*$U21*1000-coord!$B$2)^2+($U21*1000-coord!$B$7*$R21*$T21*1000-coord!$C$2)^2+($V21*1000-coord!$D$2)^2)</f>
        <v>21090662.992858022</v>
      </c>
      <c r="Y21" s="3">
        <f>$D21-(X21-$W21)-coord!$E$2</f>
        <v>-10.057059705257416</v>
      </c>
      <c r="Z21" s="3"/>
      <c r="AB21">
        <f>-(T21*1000-coord!$B$2)/$X21</f>
        <v>-0.77528865156711535</v>
      </c>
      <c r="AC21">
        <f>-(U21*1000-coord!$C$2)/$X21</f>
        <v>0.39298697255122622</v>
      </c>
      <c r="AD21">
        <f>-(V21*1000-coord!$D$2)/$X21</f>
        <v>-0.4944568316388655</v>
      </c>
      <c r="AE21">
        <v>1</v>
      </c>
      <c r="AG21">
        <v>1</v>
      </c>
      <c r="AH21">
        <v>1</v>
      </c>
      <c r="AI21">
        <v>1</v>
      </c>
      <c r="AJ21">
        <v>1</v>
      </c>
      <c r="AK21">
        <v>1</v>
      </c>
      <c r="AL21">
        <v>1</v>
      </c>
      <c r="AM21">
        <v>1</v>
      </c>
      <c r="AO21">
        <v>-3.162103096401752</v>
      </c>
      <c r="AP21">
        <v>8.8234956279870158E-2</v>
      </c>
      <c r="AQ21">
        <v>-3.459792913509022</v>
      </c>
      <c r="AR21">
        <v>7</v>
      </c>
      <c r="AT21">
        <v>1.7707029284763602</v>
      </c>
      <c r="AU21">
        <v>3.221573888860025E-2</v>
      </c>
      <c r="AV21">
        <v>1.6982269404100712</v>
      </c>
      <c r="AW21">
        <v>1.7816880275130376</v>
      </c>
      <c r="AY21">
        <v>-18.005459818989038</v>
      </c>
      <c r="BA21">
        <v>8.2167718388586195</v>
      </c>
      <c r="BD21">
        <f>SQRT(($T21*1000+coord!$B$7*$R21*$U21*1000-coord!$B$2-BA$18)^2+($U21*1000-coord!$B$7*$R21*$T21*1000-coord!$C$2-BA$19)^2+($V21*1000-coord!$D$2-BA$20)^2)</f>
        <v>21090640.563945901</v>
      </c>
      <c r="BE21" s="3">
        <f t="shared" si="13"/>
        <v>4.1550805776865332</v>
      </c>
      <c r="BG21" s="1"/>
      <c r="BH21" s="1"/>
      <c r="BI21" s="1"/>
      <c r="CA21">
        <v>0</v>
      </c>
      <c r="CB21">
        <v>0</v>
      </c>
      <c r="CC21">
        <v>0</v>
      </c>
      <c r="CD21">
        <v>1</v>
      </c>
      <c r="CG21" s="1"/>
      <c r="CH21" s="1"/>
      <c r="CI21" s="1"/>
      <c r="CK21">
        <v>1.7707029284763602</v>
      </c>
      <c r="CL21">
        <v>3.221573888860025E-2</v>
      </c>
      <c r="CM21">
        <v>1.6982269404100712</v>
      </c>
      <c r="CN21">
        <v>1.7816880275130376</v>
      </c>
      <c r="CP21">
        <v>0</v>
      </c>
      <c r="CQ21">
        <v>0</v>
      </c>
      <c r="CR21">
        <v>0</v>
      </c>
      <c r="CS21">
        <v>1</v>
      </c>
      <c r="CU21" s="5">
        <v>-4.6498556949128078E-2</v>
      </c>
      <c r="CV21" s="5">
        <v>-0.33347572947132681</v>
      </c>
      <c r="CW21" s="5">
        <v>2.4304389064398766</v>
      </c>
      <c r="CX21" s="5">
        <v>1.7816880275130376</v>
      </c>
    </row>
    <row r="22" spans="1:111">
      <c r="A22">
        <v>4</v>
      </c>
      <c r="B22">
        <f t="shared" si="11"/>
        <v>0.28333333333333333</v>
      </c>
      <c r="C22">
        <v>20</v>
      </c>
      <c r="D22">
        <f>tetto!D22*coord!$B$13-tetto!G22*coord!$B$14</f>
        <v>22701499.525765136</v>
      </c>
      <c r="E22" s="5">
        <f>90-DEGREES(ACOS((coord!$B$2*($T22*1000-coord!$B$2)+coord!$C$2*($U22*1000-coord!$C$2)+coord!$D$2*($V22*1000-coord!$D$2))/(SQRT(coord!$B$2^2+coord!$C$2^2+coord!$D$2^2)*SQRT(($T22*1000-coord!$B$2)^2+($U22*1000-coord!$C$2)^2+($V22*1000-coord!$D$2)^2))))</f>
        <v>30.803127000236117</v>
      </c>
      <c r="F22">
        <f>(coord!$C$2*($V22*1000-coord!$D$2)-coord!$D$2*($U22*1000-coord!$C$2))/(SQRT(coord!$B$2^2+coord!$C$2^2+coord!$D$2^2)*SQRT(($T22*1000-coord!$B$2)^2+($U22*1000-coord!$C$2)^2+($V22*1000-coord!$D$2)^2))</f>
        <v>-0.61741001638387283</v>
      </c>
      <c r="G22">
        <f>(-coord!$B$2*($V22*1000-coord!$D$2)+coord!$D$2*($T22*1000-coord!$B$2))/(SQRT(coord!$B$2^2+coord!$C$2^2+coord!$D$2^2)*SQRT(($T22*1000-coord!$B$2)^2+($U22*1000-coord!$C$2)^2+($V22*1000-coord!$D$2)^2))</f>
        <v>0.22298162235191524</v>
      </c>
      <c r="H22">
        <f>(coord!$B$2*($U22*1000-coord!$C$2)-coord!$C$2*($T22*1000-coord!$B$2))/(SQRT(coord!$B$2^2+coord!$C$2^2+coord!$D$2^2)*SQRT(($T22*1000-coord!$B$2)^2+($U22*1000-coord!$C$2)^2+($V22*1000-coord!$D$2)^2))</f>
        <v>0.55393877169278549</v>
      </c>
      <c r="I22">
        <f t="shared" si="5"/>
        <v>0.78639280733740213</v>
      </c>
      <c r="J22">
        <f t="shared" si="6"/>
        <v>0.34546125359516111</v>
      </c>
      <c r="K22">
        <f t="shared" si="7"/>
        <v>2.6400482566943384E-3</v>
      </c>
      <c r="L22">
        <f t="shared" si="12"/>
        <v>113.71581648899179</v>
      </c>
      <c r="M22" s="5">
        <f>'sv20'!$AA$3+'sv20'!$Z$3*($B22)+'sv20'!$Y$3*($B22)^2+'sv20'!$X$3*($B22)^3+'sv20'!$W$3*($B22)^4+'sv20'!$V$3*($B22)^5+'sv20'!$U$3*($B22)^6+'sv20'!$T$3*($B22)^7+'sv20'!$S$3*($B22)^8</f>
        <v>14175.969436801977</v>
      </c>
      <c r="N22" s="5">
        <f>'sv20'!$AA$4+'sv20'!$Z$4*($B22)+'sv20'!$Y$4*($B22)^2+'sv20'!$X$4*($B22)^3+'sv20'!$W$4*($B22)^4+'sv20'!$V$4*($B22)^5+'sv20'!$U$4*($B22)^6+'sv20'!$T$4*($B22)^7+'sv20'!$S$4*($B22)^8</f>
        <v>21244.159514391344</v>
      </c>
      <c r="O22" s="5">
        <f>'sv20'!$AA$5+'sv20'!$Z$5*($B22)+'sv20'!$Y$5*($B22)^2+'sv20'!$X$5*($B22)^3+'sv20'!$W$5*($B22)^4+'sv20'!$V$5*($B22)^5+'sv20'!$U$5*($B22)^6+'sv20'!$T$5*($B22)^7+'sv20'!$S$5*($B22)^8</f>
        <v>7248.6534014230538</v>
      </c>
      <c r="P22" s="5">
        <f>'sv20'!$AA$6+'sv20'!$Z$6*$B22+'sv20'!$Y$6*$B22^2+'sv20'!$X$6*$B22^3+'sv20'!$W$6*$B22^4+'sv20'!$V$6*$B22^5+'sv20'!$U$6*$B22^6+'sv20'!$T$6*$B22^7+'sv20'!$S$6*$B22^8</f>
        <v>55.818198606297216</v>
      </c>
      <c r="R22">
        <f>SQRT(($M22*1000-coord!$B$2)^2+($N22*1000-coord!$C$2)^2+($O22*1000-coord!$D$2)^2)/coord!$B$6</f>
        <v>7.5780055602417212E-2</v>
      </c>
      <c r="T22" s="5">
        <f>'sv20'!$AA$3+'sv20'!$Z$3*($B22-$R22/3600)+'sv20'!$Y$3*($B22-$R22/3600)^2+'sv20'!$X$3*($B22-$R22/3600)^3+'sv20'!$W$3*($B22-$R22/3600)^4+'sv20'!$V$3*($B22-$R22/3600)^5+'sv20'!$U$3*($B22-$R22/3600)^6+'sv20'!$T$3*($B22-$R22/3600)^7+'sv20'!$S$3*($B22-$R22/3600)^8+N22*coord!$B$7*R22</f>
        <v>14176.083943355216</v>
      </c>
      <c r="U22" s="5">
        <f>'sv20'!$AA$4+'sv20'!$Z$4*($B22-$R22/3600)+'sv20'!$Y$4*($B22-$R22/3600)^2+'sv20'!$X$4*($B22-$R22/3600)^3+'sv20'!$W$4*($B22-$R22/3600)^4+'sv20'!$V$4*($B22-$R22/3600)^5+'sv20'!$U$4*($B22-$R22/3600)^6+'sv20'!$T$4*($B22-$R22/3600)^7+'sv20'!$S$4*($B22-$R22/3600)^8-M22*coord!$B$7*R22</f>
        <v>21244.005650038554</v>
      </c>
      <c r="V22" s="5">
        <f>'sv20'!$AA$5+'sv20'!$Z$5*($B22-$R22/3600)+'sv20'!$Y$5*($B22-$R22/3600)^2+'sv20'!$X$5*($B22-$R22/3600)^3+'sv20'!$W$5*($B22-$R22/3600)^4+'sv20'!$V$5*($B22-$R22/3600)^5+'sv20'!$U$5*($B22-$R22/3600)^6+'sv20'!$T$5*($B22-$R22/3600)^7+'sv20'!$S$5*($B22-$R22/3600)^8</f>
        <v>7248.8758321726746</v>
      </c>
      <c r="W22">
        <f>coord!$B$6*P22/10^6</f>
        <v>16733.874961314017</v>
      </c>
      <c r="X22">
        <f>SQRT(($T22*1000+coord!$B$7*$R22*$U22*1000-coord!$B$2)^2+($U22*1000-coord!$B$7*$R22*$T22*1000-coord!$C$2)^2+($V22*1000-coord!$D$2)^2)</f>
        <v>22718208.078579016</v>
      </c>
      <c r="Y22" s="3">
        <f>$D22-(X22-$W22)-coord!$E$2</f>
        <v>25.322147432714701</v>
      </c>
      <c r="Z22" s="3"/>
      <c r="AB22">
        <f>-(T22*1000-coord!$B$2)/$X22</f>
        <v>-0.43080887976299354</v>
      </c>
      <c r="AC22">
        <f>-(U22*1000-coord!$C$2)/$X22</f>
        <v>-0.89441189052219916</v>
      </c>
      <c r="AD22">
        <f>-(V22*1000-coord!$D$2)/$X22</f>
        <v>-0.12013656836104596</v>
      </c>
      <c r="AE22">
        <v>1</v>
      </c>
      <c r="BD22">
        <f>SQRT(($T22*1000+coord!$B$7*$R22*$U22*1000-coord!$B$2-BA$18)^2+($U22*1000-coord!$B$7*$R22*$T22*1000-coord!$C$2-BA$19)^2+($V22*1000-coord!$D$2-BA$20)^2)</f>
        <v>22718221.454336032</v>
      </c>
      <c r="BE22" s="3">
        <f t="shared" si="13"/>
        <v>3.7296185776145307</v>
      </c>
      <c r="BG22" s="1"/>
      <c r="BH22" s="1"/>
      <c r="BI22" s="1"/>
      <c r="CG22" s="1"/>
      <c r="CH22" s="1"/>
      <c r="CI22" s="1"/>
    </row>
    <row r="23" spans="1:111">
      <c r="A23">
        <v>4</v>
      </c>
      <c r="B23">
        <f t="shared" si="11"/>
        <v>0.28333333333333333</v>
      </c>
      <c r="C23">
        <v>13</v>
      </c>
      <c r="D23">
        <f>tetto!D23*coord!$B$13-tetto!G23*coord!$B$14</f>
        <v>20072791.388962217</v>
      </c>
      <c r="E23" s="5">
        <f>90-DEGREES(ACOS((coord!$B$2*($T23*1000-coord!$B$2)+coord!$C$2*($U23*1000-coord!$C$2)+coord!$D$2*($V23*1000-coord!$D$2))/(SQRT(coord!$B$2^2+coord!$C$2^2+coord!$D$2^2)*SQRT(($T23*1000-coord!$B$2)^2+($U23*1000-coord!$C$2)^2+($V23*1000-coord!$D$2)^2))))</f>
        <v>79.719636445494615</v>
      </c>
      <c r="F23">
        <f>(coord!$C$2*($V23*1000-coord!$D$2)-coord!$D$2*($U23*1000-coord!$C$2))/(SQRT(coord!$B$2^2+coord!$C$2^2+coord!$D$2^2)*SQRT(($T23*1000-coord!$B$2)^2+($U23*1000-coord!$C$2)^2+($V23*1000-coord!$D$2)^2))</f>
        <v>1.8008751325750222E-2</v>
      </c>
      <c r="G23">
        <f>(-coord!$B$2*($V23*1000-coord!$D$2)+coord!$D$2*($T23*1000-coord!$B$2))/(SQRT(coord!$B$2^2+coord!$C$2^2+coord!$D$2^2)*SQRT(($T23*1000-coord!$B$2)^2+($U23*1000-coord!$C$2)^2+($V23*1000-coord!$D$2)^2))</f>
        <v>-0.17657358346857838</v>
      </c>
      <c r="H23">
        <f>(coord!$B$2*($U23*1000-coord!$C$2)-coord!$C$2*($T23*1000-coord!$B$2))/(SQRT(coord!$B$2^2+coord!$C$2^2+coord!$D$2^2)*SQRT(($T23*1000-coord!$B$2)^2+($U23*1000-coord!$C$2)^2+($V23*1000-coord!$D$2)^2))</f>
        <v>1.8633657542428305E-2</v>
      </c>
      <c r="I23">
        <f t="shared" si="5"/>
        <v>2.6452369592155522E-2</v>
      </c>
      <c r="J23">
        <f t="shared" si="6"/>
        <v>-0.17649369062934725</v>
      </c>
      <c r="K23">
        <f t="shared" si="7"/>
        <v>8.9485465205933062E-5</v>
      </c>
      <c r="L23">
        <f t="shared" si="12"/>
        <v>8.5238810307523494</v>
      </c>
      <c r="M23" s="5">
        <f>'sv13'!$AA$3+'sv13'!$Z$3*($B23)+'sv13'!$Y$3*($B23)^2+'sv13'!$X$3*($B23)^3+'sv13'!$W$3*($B23)^4+'sv13'!$V$3*($B23)^5+'sv13'!$U$3*($B23)^6+'sv13'!$T$3*($B23)^7+'sv13'!$S$3*($B23)^8</f>
        <v>15482.365178380924</v>
      </c>
      <c r="N23" s="5">
        <f>'sv13'!$AA$4+'sv13'!$Z$4*($B23)+'sv13'!$Y$4*($B23)^2+'sv13'!$X$4*($B23)^3+'sv13'!$W$4*($B23)^4+'sv13'!$V$4*($B23)^5+'sv13'!$U$4*($B23)^6+'sv13'!$T$4*($B23)^7+'sv13'!$S$4*($B23)^8</f>
        <v>3806.8953767522762</v>
      </c>
      <c r="O23" s="5">
        <f>'sv13'!$AA$5+'sv13'!$Z$5*($B23)+'sv13'!$Y$5*($B23)^2+'sv13'!$X$5*($B23)^3+'sv13'!$W$5*($B23)^4+'sv13'!$V$5*($B23)^5+'sv13'!$U$5*($B23)^6+'sv13'!$T$5*($B23)^7+'sv13'!$S$5*($B23)^8</f>
        <v>21109.15791779869</v>
      </c>
      <c r="P23" s="5">
        <f>'sv13'!$AA$6+'sv13'!$Z$6*$B23+'sv13'!$Y$6*$B23^2+'sv13'!$X$6*$B23^3+'sv13'!$W$6*$B23^4+'sv13'!$V$6*$B23^5+'sv13'!$U$6*$B23^6+'sv13'!$T$6*$B23^7+'sv13'!$S$6*$B23^8</f>
        <v>304.21960974363975</v>
      </c>
      <c r="R23">
        <f>SQRT(($M23*1000-coord!$B$2)^2+($N23*1000-coord!$C$2)^2+($O23*1000-coord!$D$2)^2)/coord!$B$6</f>
        <v>6.7259878820093169E-2</v>
      </c>
      <c r="T23" s="5">
        <f>'sv13'!$AA$3+'sv13'!$Z$3*($B23-$R23/3600)+'sv13'!$Y$3*($B23-$R23/3600)^2+'sv13'!$X$3*($B23-$R23/3600)^3+'sv13'!$W$3*($B23-$R23/3600)^4+'sv13'!$V$3*($B23-$R23/3600)^5+'sv13'!$U$3*($B23-$R23/3600)^6+'sv13'!$T$3*($B23-$R23/3600)^7+'sv13'!$S$3*($B23-$R23/3600)^8+N23*coord!$B$7*R23</f>
        <v>15482.507645771158</v>
      </c>
      <c r="U23" s="5">
        <f>'sv13'!$AA$4+'sv13'!$Z$4*($B23-$R23/3600)+'sv13'!$Y$4*($B23-$R23/3600)^2+'sv13'!$X$4*($B23-$R23/3600)^3+'sv13'!$W$4*($B23-$R23/3600)^4+'sv13'!$V$4*($B23-$R23/3600)^5+'sv13'!$U$4*($B23-$R23/3600)^6+'sv13'!$T$4*($B23-$R23/3600)^7+'sv13'!$S$4*($B23-$R23/3600)^8-M23*coord!$B$7*R23</f>
        <v>3806.6861672521495</v>
      </c>
      <c r="V23" s="5">
        <f>'sv13'!$AA$5+'sv13'!$Z$5*($B23-$R23/3600)+'sv13'!$Y$5*($B23-$R23/3600)^2+'sv13'!$X$5*($B23-$R23/3600)^3+'sv13'!$W$5*($B23-$R23/3600)^4+'sv13'!$V$5*($B23-$R23/3600)^5+'sv13'!$U$5*($B23-$R23/3600)^6+'sv13'!$T$5*($B23-$R23/3600)^7+'sv13'!$S$5*($B23-$R23/3600)^8</f>
        <v>21109.091798249348</v>
      </c>
      <c r="W23">
        <f>coord!$B$6*P23/10^6</f>
        <v>91202.744576846511</v>
      </c>
      <c r="X23">
        <f>SQRT(($T23*1000+coord!$B$7*$R23*$U23*1000-coord!$B$2)^2+($U23*1000-coord!$B$7*$R23*$T23*1000-coord!$C$2)^2+($V23*1000-coord!$D$2)^2)</f>
        <v>20163997.892525628</v>
      </c>
      <c r="Y23" s="3">
        <f>$D23-(X23-$W23)-coord!$E$2</f>
        <v>-3.7589865662157536</v>
      </c>
      <c r="Z23" s="3"/>
      <c r="AB23">
        <f>-(T23*1000-coord!$B$2)/$X23</f>
        <v>-0.55017013660189551</v>
      </c>
      <c r="AC23">
        <f>-(U23*1000-coord!$C$2)/$X23</f>
        <v>-0.14293375596515456</v>
      </c>
      <c r="AD23">
        <f>-(V23*1000-coord!$D$2)/$X23</f>
        <v>-0.82272888602605587</v>
      </c>
      <c r="AE23">
        <v>1</v>
      </c>
      <c r="BD23">
        <f>SQRT(($T23*1000+coord!$B$7*$R23*$U23*1000-coord!$B$2-BA$18)^2+($U23*1000-coord!$B$7*$R23*$T23*1000-coord!$C$2-BA$19)^2+($V23*1000-coord!$D$2-BA$20)^2)</f>
        <v>20163985.606968645</v>
      </c>
      <c r="BE23" s="3">
        <f t="shared" si="13"/>
        <v>0.30979857812832279</v>
      </c>
      <c r="BG23" s="1"/>
      <c r="BH23" s="1"/>
      <c r="BI23" s="1"/>
      <c r="CG23" s="1"/>
      <c r="CH23" s="1"/>
      <c r="CI23" s="1"/>
      <c r="CJ23" s="1"/>
    </row>
    <row r="24" spans="1:111">
      <c r="A24">
        <v>4</v>
      </c>
      <c r="B24">
        <f t="shared" si="11"/>
        <v>0.28333333333333333</v>
      </c>
      <c r="C24">
        <v>7</v>
      </c>
      <c r="D24">
        <f>tetto!D24*coord!$B$13-tetto!G24*coord!$B$14</f>
        <v>22170063.183114216</v>
      </c>
      <c r="E24" s="5">
        <f>90-DEGREES(ACOS((coord!$B$2*($T24*1000-coord!$B$2)+coord!$C$2*($U24*1000-coord!$C$2)+coord!$D$2*($V24*1000-coord!$D$2))/(SQRT(coord!$B$2^2+coord!$C$2^2+coord!$D$2^2)*SQRT(($T24*1000-coord!$B$2)^2+($U24*1000-coord!$C$2)^2+($V24*1000-coord!$D$2)^2))))</f>
        <v>39.15517337575929</v>
      </c>
      <c r="F24">
        <f>(coord!$C$2*($V24*1000-coord!$D$2)-coord!$D$2*($U24*1000-coord!$C$2))/(SQRT(coord!$B$2^2+coord!$C$2^2+coord!$D$2^2)*SQRT(($T24*1000-coord!$B$2)^2+($U24*1000-coord!$C$2)^2+($V24*1000-coord!$D$2)^2))</f>
        <v>-0.18721091449899205</v>
      </c>
      <c r="G24">
        <f>(-coord!$B$2*($V24*1000-coord!$D$2)+coord!$D$2*($T24*1000-coord!$B$2))/(SQRT(coord!$B$2^2+coord!$C$2^2+coord!$D$2^2)*SQRT(($T24*1000-coord!$B$2)^2+($U24*1000-coord!$C$2)^2+($V24*1000-coord!$D$2)^2))</f>
        <v>0.7519809211777293</v>
      </c>
      <c r="H24">
        <f>(coord!$B$2*($U24*1000-coord!$C$2)-coord!$C$2*($T24*1000-coord!$B$2))/(SQRT(coord!$B$2^2+coord!$C$2^2+coord!$D$2^2)*SQRT(($T24*1000-coord!$B$2)^2+($U24*1000-coord!$C$2)^2+($V24*1000-coord!$D$2)^2))</f>
        <v>2.7964214369522601E-2</v>
      </c>
      <c r="I24">
        <f t="shared" si="5"/>
        <v>3.9701844166230751E-2</v>
      </c>
      <c r="J24">
        <f t="shared" si="6"/>
        <v>0.77442170432876489</v>
      </c>
      <c r="K24">
        <f t="shared" si="7"/>
        <v>1.3054689281087953E-4</v>
      </c>
      <c r="L24">
        <f t="shared" si="12"/>
        <v>177.06521864464185</v>
      </c>
      <c r="M24" s="5">
        <f>'sv07'!$AA$3+'sv07'!$Z$3*($B24)+'sv07'!$Y$3*($B24)^2+'sv07'!$X$3*($B24)^3+'sv07'!$W$3*($B24)^4+'sv07'!$V$3*($B24)^5+'sv07'!$U$3*($B24)^6+'sv07'!$T$3*($B24)^7+'sv07'!$S$3*($B24)^8</f>
        <v>25780.963649926929</v>
      </c>
      <c r="N24" s="5">
        <f>'sv07'!$AA$4+'sv07'!$Z$4*($B24)+'sv07'!$Y$4*($B24)^2+'sv07'!$X$4*($B24)^3+'sv07'!$W$4*($B24)^4+'sv07'!$V$4*($B24)^5+'sv07'!$U$4*($B24)^6+'sv07'!$T$4*($B24)^7+'sv07'!$S$4*($B24)^8</f>
        <v>6330.680238842494</v>
      </c>
      <c r="O24" s="5">
        <f>'sv07'!$AA$5+'sv07'!$Z$5*($B24)+'sv07'!$Y$5*($B24)^2+'sv07'!$X$5*($B24)^3+'sv07'!$W$5*($B24)^4+'sv07'!$V$5*($B24)^5+'sv07'!$U$5*($B24)^6+'sv07'!$T$5*($B24)^7+'sv07'!$S$5*($B24)^8</f>
        <v>2362.2647290506529</v>
      </c>
      <c r="P24" s="5">
        <f>'sv07'!$AA$6+'sv07'!$Z$6*$B24+'sv07'!$Y$6*$B24^2+'sv07'!$X$6*$B24^3+'sv07'!$W$6*$B24^4+'sv07'!$V$6*$B24^5+'sv07'!$U$6*$B24^6+'sv07'!$T$6*$B24^7+'sv07'!$S$6*$B24^8</f>
        <v>-0.63758599247135128</v>
      </c>
      <c r="R24">
        <f>SQRT(($M24*1000-coord!$B$2)^2+($N24*1000-coord!$C$2)^2+($O24*1000-coord!$D$2)^2)/coord!$B$6</f>
        <v>7.3950595058631691E-2</v>
      </c>
      <c r="T24" s="5">
        <f>'sv07'!$AA$3+'sv07'!$Z$3*($B24-$R24/3600)+'sv07'!$Y$3*($B24-$R24/3600)^2+'sv07'!$X$3*($B24-$R24/3600)^3+'sv07'!$W$3*($B24-$R24/3600)^4+'sv07'!$V$3*($B24-$R24/3600)^5+'sv07'!$U$3*($B24-$R24/3600)^6+'sv07'!$T$3*($B24-$R24/3600)^7+'sv07'!$S$3*($B24-$R24/3600)^8+N24*coord!$B$7*R24</f>
        <v>25781.022655258748</v>
      </c>
      <c r="U24" s="5">
        <f>'sv07'!$AA$4+'sv07'!$Z$4*($B24-$R24/3600)+'sv07'!$Y$4*($B24-$R24/3600)^2+'sv07'!$X$4*($B24-$R24/3600)^3+'sv07'!$W$4*($B24-$R24/3600)^4+'sv07'!$V$4*($B24-$R24/3600)^5+'sv07'!$U$4*($B24-$R24/3600)^6+'sv07'!$T$4*($B24-$R24/3600)^7+'sv07'!$S$4*($B24-$R24/3600)^8-M24*coord!$B$7*R24</f>
        <v>6330.5283043143509</v>
      </c>
      <c r="V24" s="5">
        <f>'sv07'!$AA$5+'sv07'!$Z$5*($B24-$R24/3600)+'sv07'!$Y$5*($B24-$R24/3600)^2+'sv07'!$X$5*($B24-$R24/3600)^3+'sv07'!$W$5*($B24-$R24/3600)^4+'sv07'!$V$5*($B24-$R24/3600)^5+'sv07'!$U$5*($B24-$R24/3600)^6+'sv07'!$T$5*($B24-$R24/3600)^7+'sv07'!$S$5*($B24-$R24/3600)^8</f>
        <v>2362.0303190858508</v>
      </c>
      <c r="W24">
        <f>coord!$B$6*P24/10^6</f>
        <v>-191.14347186935589</v>
      </c>
      <c r="X24">
        <f>SQRT(($T24*1000+coord!$B$7*$R24*$U24*1000-coord!$B$2)^2+($U24*1000-coord!$B$7*$R24*$T24*1000-coord!$C$2)^2+($V24*1000-coord!$D$2)^2)</f>
        <v>22169872.401585992</v>
      </c>
      <c r="Y24" s="3">
        <f>$D24-(X24-$W24)-coord!$E$2</f>
        <v>-0.36194364726543427</v>
      </c>
      <c r="Z24" s="3" t="s">
        <v>127</v>
      </c>
      <c r="AA24" s="1" t="s">
        <v>128</v>
      </c>
      <c r="AB24">
        <f>-(T24*1000-coord!$B$2)/$X24</f>
        <v>-0.96491960336805516</v>
      </c>
      <c r="AC24">
        <f>-(U24*1000-coord!$C$2)/$X24</f>
        <v>-0.2438425442055146</v>
      </c>
      <c r="AD24">
        <f>-(V24*1000-coord!$D$2)/$X24</f>
        <v>9.73193672986499E-2</v>
      </c>
      <c r="AE24">
        <v>1</v>
      </c>
      <c r="BD24">
        <f>SQRT(($T24*1000+coord!$B$7*$R24*$U24*1000-coord!$B$2-BA$18)^2+($U24*1000-coord!$B$7*$R24*$T24*1000-coord!$C$2-BA$19)^2+($V24*1000-coord!$D$2-BA$20)^2)</f>
        <v>22169868.604076277</v>
      </c>
      <c r="BE24" s="3">
        <f t="shared" si="13"/>
        <v>-4.7812057711630018</v>
      </c>
      <c r="BF24" s="3" t="s">
        <v>127</v>
      </c>
      <c r="BG24" s="1" t="s">
        <v>128</v>
      </c>
      <c r="BH24" s="1"/>
      <c r="BI24" s="1"/>
      <c r="CG24" s="1"/>
      <c r="CH24" s="1"/>
      <c r="CI24" s="1"/>
      <c r="CJ24" s="1"/>
    </row>
    <row r="25" spans="1:111">
      <c r="Y25" s="3"/>
      <c r="Z25" s="3">
        <f>AVERAGE($Y18:$Y24)</f>
        <v>-2.5722085455698624</v>
      </c>
      <c r="AA25" s="1">
        <f>SQRT(DEVSQ($Y18:$Y24)/6)</f>
        <v>14.997376103574297</v>
      </c>
      <c r="BE25" s="3"/>
      <c r="BF25" s="3">
        <f>AVERAGE($BE18:$BE24)</f>
        <v>6.5787624139699937E-5</v>
      </c>
      <c r="BG25" s="1">
        <f>SQRT(DEVSQ($BE18:$BE24)/6)</f>
        <v>3.9815054310821223</v>
      </c>
      <c r="BH25" s="1"/>
      <c r="BI25" s="1"/>
      <c r="CG25" s="1"/>
      <c r="CH25" s="1"/>
      <c r="CI25" s="1"/>
      <c r="CJ25" s="1"/>
    </row>
    <row r="26" spans="1:111">
      <c r="A26">
        <v>6</v>
      </c>
      <c r="B26">
        <f t="shared" ref="B26:B32" si="14">(60-45)/60+30*A26/3600</f>
        <v>0.3</v>
      </c>
      <c r="C26">
        <v>2</v>
      </c>
      <c r="D26">
        <f>tetto!D26*coord!$B$13-tetto!G26*coord!$B$14</f>
        <v>22844731.962069556</v>
      </c>
      <c r="E26" s="5">
        <f>90-DEGREES(ACOS((coord!$B$2*($T26*1000-coord!$B$2)+coord!$C$2*($U26*1000-coord!$C$2)+coord!$D$2*($V26*1000-coord!$D$2))/(SQRT(coord!$B$2^2+coord!$C$2^2+coord!$D$2^2)*SQRT(($T26*1000-coord!$B$2)^2+($U26*1000-coord!$C$2)^2+($V26*1000-coord!$D$2)^2))))</f>
        <v>27.866598532532372</v>
      </c>
      <c r="F26">
        <f>(coord!$C$2*($V26*1000-coord!$D$2)-coord!$D$2*($U26*1000-coord!$C$2))/(SQRT(coord!$B$2^2+coord!$C$2^2+coord!$D$2^2)*SQRT(($T26*1000-coord!$B$2)^2+($U26*1000-coord!$C$2)^2+($V26*1000-coord!$D$2)^2))</f>
        <v>0.58991083175961112</v>
      </c>
      <c r="G26">
        <f>(-coord!$B$2*($V26*1000-coord!$D$2)+coord!$D$2*($T26*1000-coord!$B$2))/(SQRT(coord!$B$2^2+coord!$C$2^2+coord!$D$2^2)*SQRT(($T26*1000-coord!$B$2)^2+($U26*1000-coord!$C$2)^2+($V26*1000-coord!$D$2)^2))</f>
        <v>-0.44980963560954079</v>
      </c>
      <c r="H26">
        <f>(coord!$B$2*($U26*1000-coord!$C$2)-coord!$C$2*($T26*1000-coord!$B$2))/(SQRT(coord!$B$2^2+coord!$C$2^2+coord!$D$2^2)*SQRT(($T26*1000-coord!$B$2)^2+($U26*1000-coord!$C$2)^2+($V26*1000-coord!$D$2)^2))</f>
        <v>-0.48083277715598655</v>
      </c>
      <c r="I26">
        <f t="shared" si="5"/>
        <v>-0.68260968073654027</v>
      </c>
      <c r="J26">
        <f t="shared" si="6"/>
        <v>-0.56174944043899722</v>
      </c>
      <c r="K26">
        <f t="shared" si="7"/>
        <v>-2.2906840189801936E-3</v>
      </c>
      <c r="L26">
        <f t="shared" ref="L26:L32" si="15">90+DEGREES(ATAN2(I26,J26))</f>
        <v>-50.547537589936894</v>
      </c>
      <c r="M26" s="5">
        <f>'sv02'!$AA$3+'sv02'!$Z$3*($B26)+'sv02'!$Y$3*($B26)^2+'sv02'!$X$3*($B26)^3+'sv02'!$W$3*($B26)^4+'sv02'!$V$3*($B26)^5+'sv02'!$U$3*($B26)^6+'sv02'!$T$3*($B26)^7+'sv02'!$S$3*($B26)^8</f>
        <v>6056.0400629923897</v>
      </c>
      <c r="N26" s="5">
        <f>'sv02'!$AA$4+'sv02'!$Z$4*($B26)+'sv02'!$Y$4*($B26)^2+'sv02'!$X$4*($B26)^3+'sv02'!$W$4*($B26)^4+'sv02'!$V$4*($B26)^5+'sv02'!$U$4*($B26)^6+'sv02'!$T$4*($B26)^7+'sv02'!$S$4*($B26)^8</f>
        <v>-14714.4249290918</v>
      </c>
      <c r="O26" s="5">
        <f>'sv02'!$AA$5+'sv02'!$Z$5*($B26)+'sv02'!$Y$5*($B26)^2+'sv02'!$X$5*($B26)^3+'sv02'!$W$5*($B26)^4+'sv02'!$V$5*($B26)^5+'sv02'!$U$5*($B26)^6+'sv02'!$T$5*($B26)^7+'sv02'!$S$5*($B26)^8</f>
        <v>21194.603641438243</v>
      </c>
      <c r="P26" s="5">
        <f>'sv02'!$AA$6+'sv02'!$Z$6*$B26+'sv02'!$Y$6*$B26^2+'sv02'!$X$6*$B26^3+'sv02'!$W$6*$B26^4+'sv02'!$V$6*$B26^5+'sv02'!$U$6*$B26^6+'sv02'!$T$6*$B26^7+'sv02'!$S$6*$B26^8</f>
        <v>257.59036976691146</v>
      </c>
      <c r="R26">
        <f>SQRT(($M26*1000-coord!$B$2)^2+($N26*1000-coord!$C$2)^2+($O26*1000-coord!$D$2)^2)/coord!$B$6</f>
        <v>7.6459245488425615E-2</v>
      </c>
      <c r="T26" s="5">
        <f>'sv02'!$AA$3+'sv02'!$Z$3*($B26-$R26/3600)+'sv02'!$Y$3*($B26-$R26/3600)^2+'sv02'!$X$3*($B26-$R26/3600)^3+'sv02'!$W$3*($B26-$R26/3600)^4+'sv02'!$V$3*($B26-$R26/3600)^5+'sv02'!$U$3*($B26-$R26/3600)^6+'sv02'!$T$3*($B26-$R26/3600)^7+'sv02'!$S$3*($B26-$R26/3600)^8+N26*coord!$B$7*R26</f>
        <v>6055.7541629382504</v>
      </c>
      <c r="U26" s="5">
        <f>'sv02'!$AA$4+'sv02'!$Z$4*($B26-$R26/3600)+'sv02'!$Y$4*($B26-$R26/3600)^2+'sv02'!$X$4*($B26-$R26/3600)^3+'sv02'!$W$4*($B26-$R26/3600)^4+'sv02'!$V$4*($B26-$R26/3600)^5+'sv02'!$U$4*($B26-$R26/3600)^6+'sv02'!$T$4*($B26-$R26/3600)^7+'sv02'!$S$4*($B26-$R26/3600)^8-M26*coord!$B$7*R26</f>
        <v>-14714.496365240466</v>
      </c>
      <c r="V26" s="5">
        <f>'sv02'!$AA$5+'sv02'!$Z$5*($B26-$R26/3600)+'sv02'!$Y$5*($B26-$R26/3600)^2+'sv02'!$X$5*($B26-$R26/3600)^3+'sv02'!$W$5*($B26-$R26/3600)^4+'sv02'!$V$5*($B26-$R26/3600)^5+'sv02'!$U$5*($B26-$R26/3600)^6+'sv02'!$T$5*($B26-$R26/3600)^7+'sv02'!$S$5*($B26-$R26/3600)^8</f>
        <v>21194.6391918105</v>
      </c>
      <c r="W26">
        <f>coord!$B$6*P26/10^6</f>
        <v>77223.650109551265</v>
      </c>
      <c r="X26">
        <f>SQRT(($T26*1000+coord!$B$7*$R26*$U26*1000-coord!$B$2)^2+($U26*1000-coord!$B$7*$R26*$T26*1000-coord!$C$2)^2+($V26*1000-coord!$D$2)^2)</f>
        <v>22921976.020712804</v>
      </c>
      <c r="Y26" s="3">
        <f>$D26-(X26-$W26)-coord!$E$2</f>
        <v>-20.408533696085215</v>
      </c>
      <c r="Z26" s="3"/>
      <c r="AB26">
        <f>-(T26*1000-coord!$B$2)/$X26</f>
        <v>-7.271955919646822E-2</v>
      </c>
      <c r="AC26">
        <f>-(U26*1000-coord!$C$2)/$X26</f>
        <v>0.68227392631022121</v>
      </c>
      <c r="AD26">
        <f>-(V26*1000-coord!$D$2)/$X26</f>
        <v>-0.72747004457393005</v>
      </c>
      <c r="AE26">
        <v>1</v>
      </c>
      <c r="AG26">
        <f t="array" ref="AG26:AM29">TRANSPOSE(AB26:AE32)</f>
        <v>-7.271955919646822E-2</v>
      </c>
      <c r="AH26">
        <v>-0.2435572720938885</v>
      </c>
      <c r="AI26">
        <v>-0.12884739719472466</v>
      </c>
      <c r="AJ26">
        <v>-0.78027127058095647</v>
      </c>
      <c r="AK26">
        <v>-0.43027047641654936</v>
      </c>
      <c r="AL26">
        <v>-0.54456402779882696</v>
      </c>
      <c r="AM26">
        <v>-0.9655158986559973</v>
      </c>
      <c r="AO26">
        <f t="array" ref="AO26:AR29">MMULT(AG26:AM29,AB26:AE32)</f>
        <v>2.1039368003431242</v>
      </c>
      <c r="AP26">
        <v>0.37105017947464336</v>
      </c>
      <c r="AQ26">
        <v>1.1192049312783656</v>
      </c>
      <c r="AR26">
        <v>-3.1657459019374112</v>
      </c>
      <c r="AT26">
        <f t="array" ref="AT26:AW29">MINVERSE(AO26:AR29)</f>
        <v>2.4666585340062452</v>
      </c>
      <c r="AU26">
        <v>-0.13427573000503915</v>
      </c>
      <c r="AV26">
        <v>1.3561673164617678</v>
      </c>
      <c r="AW26">
        <v>1.7871616842712459</v>
      </c>
      <c r="AY26">
        <f t="array" ref="AY26:AY29">MMULT(AG26:AM29,Y26:Y32)</f>
        <v>-0.12782986829331433</v>
      </c>
      <c r="BA26">
        <f t="array" ref="BA26:BA29">MMULT(AT26:AW29,AY26:AY29)</f>
        <v>10.225816687549056</v>
      </c>
      <c r="BD26">
        <f>SQRT(($T26*1000+coord!$B$7*$R26*$U26*1000-coord!$B$2-BA$26)^2+($U26*1000-coord!$B$7*$R26*$T26*1000-coord!$C$2-BA$27)^2+($V26*1000-coord!$D$2-BA$28)^2)</f>
        <v>22921951.1814791</v>
      </c>
      <c r="BE26" s="3">
        <f>$D26-(BD26-$W26)-BA$29</f>
        <v>-4.3798962694314696</v>
      </c>
      <c r="BG26" s="1">
        <f>coord!$B$2+$BA26</f>
        <v>4388888.396616688</v>
      </c>
      <c r="BH26" s="1">
        <f>coord!$C$2+$BA27</f>
        <v>924548.51925266103</v>
      </c>
      <c r="BI26" s="1">
        <f>coord!$D$2+$BA28</f>
        <v>4519601.0506466739</v>
      </c>
      <c r="BJ26" s="1">
        <f>coord!$E$2+$BA29</f>
        <v>8.8105962772575594</v>
      </c>
      <c r="BK26" s="8">
        <f>lat($BG26,$BH26,$BI26)</f>
        <v>45.411216513724113</v>
      </c>
      <c r="BL26" s="8">
        <f>lon($BG26,$BH26,$BI26)</f>
        <v>11.895808429545365</v>
      </c>
      <c r="BM26" s="6">
        <f>h($BG26,$BH26,$BI26)</f>
        <v>75.105194288305938</v>
      </c>
      <c r="BO26">
        <f>grado($BK26)</f>
        <v>45</v>
      </c>
      <c r="BP26">
        <f>MINUTOprimo($BK26)</f>
        <v>24</v>
      </c>
      <c r="BQ26">
        <f>MINUTOsecondo($BK26)</f>
        <v>40.37944940680859</v>
      </c>
      <c r="BR26">
        <f>grado($BL26)</f>
        <v>11</v>
      </c>
      <c r="BS26">
        <f>MINUTOprimo($BL26)</f>
        <v>53</v>
      </c>
      <c r="BT26">
        <f>MINUTOsecondo($BL26)</f>
        <v>44.910346363314773</v>
      </c>
      <c r="BV26">
        <f>-SIN(RADIANS(BK26))*COS(RADIANS(BL26))</f>
        <v>-0.69686911452198452</v>
      </c>
      <c r="BW26">
        <f>-SIN(RADIANS(BL26))</f>
        <v>-0.20613260035148104</v>
      </c>
      <c r="BX26">
        <f>COS(RADIANS(BK26))*COS(RADIANS(BL26))</f>
        <v>0.68693725208179068</v>
      </c>
      <c r="BZ26" t="s">
        <v>93</v>
      </c>
      <c r="CA26">
        <f t="array" ref="CA26:CC28">MINVERSE(BV26:BX28)</f>
        <v>-0.69686911452198463</v>
      </c>
      <c r="CB26">
        <v>-0.1468001119465332</v>
      </c>
      <c r="CC26">
        <v>0.70201364969481217</v>
      </c>
      <c r="CD26">
        <v>0</v>
      </c>
      <c r="CE26" s="1">
        <f t="array" ref="CE26:CE28">MMULT(CA26:CC28,BA26:BA28)</f>
        <v>5.0277878359462012</v>
      </c>
      <c r="CG26" s="1">
        <f t="array" ref="CG26:CI26">TRANSPOSE(CE26:CE28)</f>
        <v>5.0277878359462012</v>
      </c>
      <c r="CH26" s="1">
        <v>-23.33592377916063</v>
      </c>
      <c r="CI26" s="1">
        <v>12.984056502332432</v>
      </c>
      <c r="CK26">
        <f t="array" ref="CK26:CN29">MMULT(CA26:CD29,AT26:AW29)</f>
        <v>-0.74717848879844129</v>
      </c>
      <c r="CL26">
        <v>0.18582809136669154</v>
      </c>
      <c r="CM26">
        <v>0.60444083536053639</v>
      </c>
      <c r="CN26">
        <v>-4.0970595319059333E-2</v>
      </c>
      <c r="CP26">
        <f t="array" ref="CP26:CS29">TRANSPOSE(CA26:CD29)</f>
        <v>-0.69686911452198463</v>
      </c>
      <c r="CQ26">
        <v>-0.20613260035148107</v>
      </c>
      <c r="CR26">
        <v>0.68693725208179079</v>
      </c>
      <c r="CS26">
        <v>0</v>
      </c>
      <c r="CU26" s="5">
        <f t="array" ref="CU26:CX29">MMULT(CK26:CN29,CP26:CS29)</f>
        <v>0.91773174411943481</v>
      </c>
      <c r="CV26" s="5">
        <v>0.3358551046801721</v>
      </c>
      <c r="CW26" s="5">
        <v>-5.5913250766022604E-2</v>
      </c>
      <c r="CX26" s="5">
        <v>-4.0970595319059333E-2</v>
      </c>
      <c r="CZ26" s="3">
        <f>SQRT(CU26+CV27)</f>
        <v>1.240225567563882</v>
      </c>
      <c r="DA26" s="3">
        <f>CW28</f>
        <v>3.6662194276509554</v>
      </c>
      <c r="DB26" s="3">
        <f>CX29</f>
        <v>1.8037300853809746</v>
      </c>
      <c r="DC26" s="3">
        <f>BG33</f>
        <v>3.8272137371292922</v>
      </c>
      <c r="DD26">
        <v>6</v>
      </c>
      <c r="DE26" s="6">
        <f>DB26*DD26*DC26</f>
        <v>41.419563365060739</v>
      </c>
      <c r="DF26">
        <v>5.33</v>
      </c>
      <c r="DG26" s="6">
        <f>DC26*DF26*SQRT(0.5*(CU26+CV27)+SQRT((0.5*(CU26-CV27))^2+CV26^2))</f>
        <v>21.74544135432679</v>
      </c>
    </row>
    <row r="27" spans="1:111">
      <c r="A27">
        <v>6</v>
      </c>
      <c r="B27">
        <f t="shared" si="14"/>
        <v>0.3</v>
      </c>
      <c r="C27">
        <v>23</v>
      </c>
      <c r="D27">
        <f>tetto!D27*coord!$B$13-tetto!G27*coord!$B$14</f>
        <v>20913127.624949764</v>
      </c>
      <c r="E27" s="5">
        <f>90-DEGREES(ACOS((coord!$B$2*($T27*1000-coord!$B$2)+coord!$C$2*($U27*1000-coord!$C$2)+coord!$D$2*($V27*1000-coord!$D$2))/(SQRT(coord!$B$2^2+coord!$C$2^2+coord!$D$2^2)*SQRT(($T27*1000-coord!$B$2)^2+($U27*1000-coord!$C$2)^2+($V27*1000-coord!$D$2)^2))))</f>
        <v>55.484471689928185</v>
      </c>
      <c r="F27">
        <f>(coord!$C$2*($V27*1000-coord!$D$2)-coord!$D$2*($U27*1000-coord!$C$2))/(SQRT(coord!$B$2^2+coord!$C$2^2+coord!$D$2^2)*SQRT(($T27*1000-coord!$B$2)^2+($U27*1000-coord!$C$2)^2+($V27*1000-coord!$D$2)^2))</f>
        <v>-0.25160296159546486</v>
      </c>
      <c r="G27">
        <f>(-coord!$B$2*($V27*1000-coord!$D$2)+coord!$D$2*($T27*1000-coord!$B$2))/(SQRT(coord!$B$2^2+coord!$C$2^2+coord!$D$2^2)*SQRT(($T27*1000-coord!$B$2)^2+($U27*1000-coord!$C$2)^2+($V27*1000-coord!$D$2)^2))</f>
        <v>-0.39067740178711674</v>
      </c>
      <c r="H27">
        <f>(coord!$B$2*($U27*1000-coord!$C$2)-coord!$C$2*($T27*1000-coord!$B$2))/(SQRT(coord!$B$2^2+coord!$C$2^2+coord!$D$2^2)*SQRT(($T27*1000-coord!$B$2)^2+($U27*1000-coord!$C$2)^2+($V27*1000-coord!$D$2)^2))</f>
        <v>0.32424710959864506</v>
      </c>
      <c r="I27">
        <f t="shared" si="5"/>
        <v>0.46031173230661815</v>
      </c>
      <c r="J27">
        <f t="shared" si="6"/>
        <v>-0.33042364578806804</v>
      </c>
      <c r="K27">
        <f t="shared" si="7"/>
        <v>1.5472681792866594E-3</v>
      </c>
      <c r="L27">
        <f t="shared" si="15"/>
        <v>54.328238619295639</v>
      </c>
      <c r="M27" s="5">
        <f>'sv23'!$AA$3+'sv23'!$Z$3*($B27)+'sv23'!$Y$3*($B27)^2+'sv23'!$X$3*($B27)^3+'sv23'!$W$3*($B27)^4+'sv23'!$V$3*($B27)^5+'sv23'!$U$3*($B27)^6+'sv23'!$T$3*($B27)^7+'sv23'!$S$3*($B27)^8</f>
        <v>9509.253067766118</v>
      </c>
      <c r="N27" s="5">
        <f>'sv23'!$AA$4+'sv23'!$Z$4*($B27)+'sv23'!$Y$4*($B27)^2+'sv23'!$X$4*($B27)^3+'sv23'!$W$4*($B27)^4+'sv23'!$V$4*($B27)^5+'sv23'!$U$4*($B27)^6+'sv23'!$T$4*($B27)^7+'sv23'!$S$4*($B27)^8</f>
        <v>11893.591155274971</v>
      </c>
      <c r="O27" s="5">
        <f>'sv23'!$AA$5+'sv23'!$Z$5*($B27)+'sv23'!$Y$5*($B27)^2+'sv23'!$X$5*($B27)^3+'sv23'!$W$5*($B27)^4+'sv23'!$V$5*($B27)^5+'sv23'!$U$5*($B27)^6+'sv23'!$T$5*($B27)^7+'sv23'!$S$5*($B27)^8</f>
        <v>21708.987952317766</v>
      </c>
      <c r="P27" s="5">
        <f>'sv23'!$AA$6+'sv23'!$Z$6*$B27+'sv23'!$Y$6*$B27^2+'sv23'!$X$6*$B27^3+'sv23'!$W$6*$B27^4+'sv23'!$V$6*$B27^5+'sv23'!$U$6*$B27^6+'sv23'!$T$6*$B27^7+'sv23'!$S$6*$B27^8</f>
        <v>370.05739833960257</v>
      </c>
      <c r="R27">
        <f>SQRT(($M27*1000-coord!$B$2)^2+($N27*1000-coord!$C$2)^2+($O27*1000-coord!$D$2)^2)/coord!$B$6</f>
        <v>7.012887590991175E-2</v>
      </c>
      <c r="T27" s="5">
        <f>'sv23'!$AA$3+'sv23'!$Z$3*($B27-$R27/3600)+'sv23'!$Y$3*($B27-$R27/3600)^2+'sv23'!$X$3*($B27-$R27/3600)^3+'sv23'!$W$3*($B27-$R27/3600)^4+'sv23'!$V$3*($B27-$R27/3600)^5+'sv23'!$U$3*($B27-$R27/3600)^6+'sv23'!$T$3*($B27-$R27/3600)^7+'sv23'!$S$3*($B27-$R27/3600)^8+N27*coord!$B$7*R27</f>
        <v>9509.4416819952585</v>
      </c>
      <c r="U27" s="5">
        <f>'sv23'!$AA$4+'sv23'!$Z$4*($B27-$R27/3600)+'sv23'!$Y$4*($B27-$R27/3600)^2+'sv23'!$X$4*($B27-$R27/3600)^3+'sv23'!$W$4*($B27-$R27/3600)^4+'sv23'!$V$4*($B27-$R27/3600)^5+'sv23'!$U$4*($B27-$R27/3600)^6+'sv23'!$T$4*($B27-$R27/3600)^7+'sv23'!$S$4*($B27-$R27/3600)^8-M27*coord!$B$7*R27</f>
        <v>11893.396759948608</v>
      </c>
      <c r="V27" s="5">
        <f>'sv23'!$AA$5+'sv23'!$Z$5*($B27-$R27/3600)+'sv23'!$Y$5*($B27-$R27/3600)^2+'sv23'!$X$5*($B27-$R27/3600)^3+'sv23'!$W$5*($B27-$R27/3600)^4+'sv23'!$V$5*($B27-$R27/3600)^5+'sv23'!$U$5*($B27-$R27/3600)^6+'sv23'!$T$5*($B27-$R27/3600)^7+'sv23'!$S$5*($B27-$R27/3600)^8</f>
        <v>21709.013978944706</v>
      </c>
      <c r="W27">
        <f>coord!$B$6*P27/10^6</f>
        <v>110940.41704931458</v>
      </c>
      <c r="X27">
        <f>SQRT(($T27*1000+coord!$B$7*$R27*$U27*1000-coord!$B$2)^2+($U27*1000-coord!$B$7*$R27*$T27*1000-coord!$C$2)^2+($V27*1000-coord!$D$2)^2)</f>
        <v>21024063.322655953</v>
      </c>
      <c r="Y27" s="3">
        <f>$D27-(X27-$W27)-coord!$E$2</f>
        <v>4.7193431258201599</v>
      </c>
      <c r="Z27" s="3"/>
      <c r="AB27">
        <f>-(T27*1000-coord!$B$2)/$X27</f>
        <v>-0.2435572720938885</v>
      </c>
      <c r="AC27">
        <f>-(U27*1000-coord!$C$2)/$X27</f>
        <v>-0.52172724075314125</v>
      </c>
      <c r="AD27">
        <f>-(V27*1000-coord!$D$2)/$X27</f>
        <v>-0.81760720755254912</v>
      </c>
      <c r="AE27">
        <v>1</v>
      </c>
      <c r="AG27">
        <v>0.68227392631022121</v>
      </c>
      <c r="AH27">
        <v>-0.52172724075314125</v>
      </c>
      <c r="AI27">
        <v>0.80573247847231577</v>
      </c>
      <c r="AJ27">
        <v>0.39125144655452482</v>
      </c>
      <c r="AK27">
        <v>-0.89570002056524778</v>
      </c>
      <c r="AL27">
        <v>-0.14881191012358161</v>
      </c>
      <c r="AM27">
        <v>-0.24470056237399068</v>
      </c>
      <c r="AO27">
        <v>0.37105017947464336</v>
      </c>
      <c r="AP27">
        <v>2.424281422224162</v>
      </c>
      <c r="AQ27">
        <v>-0.52488173647428571</v>
      </c>
      <c r="AR27">
        <v>6.8318117521100341E-2</v>
      </c>
      <c r="AT27">
        <v>-0.13427573000503912</v>
      </c>
      <c r="AU27">
        <v>0.48192681245451385</v>
      </c>
      <c r="AV27">
        <v>0.23219262529369308</v>
      </c>
      <c r="AW27">
        <v>4.9335138250969537E-2</v>
      </c>
      <c r="AY27">
        <v>-54.902090067484565</v>
      </c>
      <c r="BA27">
        <v>-21.693947338963557</v>
      </c>
      <c r="BD27">
        <f>SQRT(($T27*1000+coord!$B$7*$R27*$U27*1000-coord!$B$2-BA$26)^2+($U27*1000-coord!$B$7*$R27*$T27*1000-coord!$C$2-BA$27)^2+($V27*1000-coord!$D$2-BA$28)^2)</f>
        <v>21024061.704311833</v>
      </c>
      <c r="BE27" s="3">
        <f t="shared" ref="BE27:BE32" si="16">$D27-(BD27-$W27)-BA$29</f>
        <v>-2.4729090307561137</v>
      </c>
      <c r="BG27" s="1"/>
      <c r="BH27" s="1"/>
      <c r="BI27" s="1"/>
      <c r="BV27">
        <f>-SIN(RADIANS(BK26))*SIN(RADIANS(BL26))</f>
        <v>-0.14680011194653314</v>
      </c>
      <c r="BW27">
        <f>COS(RADIANS(BL26))</f>
        <v>0.97852406770213707</v>
      </c>
      <c r="BX27">
        <f>COS(RADIANS(BK26))*SIN(RADIANS(BL26))</f>
        <v>0.14470789909382534</v>
      </c>
      <c r="BZ27" t="s">
        <v>94</v>
      </c>
      <c r="CA27">
        <v>-0.20613260035148107</v>
      </c>
      <c r="CB27">
        <v>0.97852406770213718</v>
      </c>
      <c r="CC27">
        <v>0</v>
      </c>
      <c r="CD27">
        <v>0</v>
      </c>
      <c r="CE27" s="1">
        <v>-23.33592377916063</v>
      </c>
      <c r="CG27" s="1"/>
      <c r="CH27" s="1"/>
      <c r="CI27" s="1"/>
      <c r="CK27">
        <v>-0.63985077131208434</v>
      </c>
      <c r="CL27">
        <v>0.49925559024774796</v>
      </c>
      <c r="CM27">
        <v>-5.2344223261131445E-2</v>
      </c>
      <c r="CN27">
        <v>-0.3201166650653785</v>
      </c>
      <c r="CP27">
        <v>-0.1468001119465332</v>
      </c>
      <c r="CQ27">
        <v>0.97852406770213718</v>
      </c>
      <c r="CR27">
        <v>0.14470789909382537</v>
      </c>
      <c r="CS27">
        <v>0</v>
      </c>
      <c r="CU27" s="5">
        <v>0.33585510468017221</v>
      </c>
      <c r="CV27" s="5">
        <v>0.62042771431971855</v>
      </c>
      <c r="CW27" s="5">
        <v>-0.40456874769980439</v>
      </c>
      <c r="CX27" s="5">
        <v>-0.3201166650653785</v>
      </c>
    </row>
    <row r="28" spans="1:111">
      <c r="A28">
        <v>6</v>
      </c>
      <c r="B28">
        <f t="shared" si="14"/>
        <v>0.3</v>
      </c>
      <c r="C28">
        <v>10</v>
      </c>
      <c r="D28">
        <f>tetto!D28*coord!$B$13-tetto!G28*coord!$B$14</f>
        <v>23241165.933839835</v>
      </c>
      <c r="E28" s="5">
        <f>90-DEGREES(ACOS((coord!$B$2*($T28*1000-coord!$B$2)+coord!$C$2*($U28*1000-coord!$C$2)+coord!$D$2*($V28*1000-coord!$D$2))/(SQRT(coord!$B$2^2+coord!$C$2^2+coord!$D$2^2)*SQRT(($T28*1000-coord!$B$2)^2+($U28*1000-coord!$C$2)^2+($V28*1000-coord!$D$2)^2))))</f>
        <v>22.466761189562035</v>
      </c>
      <c r="F28">
        <f>(coord!$C$2*($V28*1000-coord!$D$2)-coord!$D$2*($U28*1000-coord!$C$2))/(SQRT(coord!$B$2^2+coord!$C$2^2+coord!$D$2^2)*SQRT(($T28*1000-coord!$B$2)^2+($U28*1000-coord!$C$2)^2+($V28*1000-coord!$D$2)^2))</f>
        <v>0.65585194968812677</v>
      </c>
      <c r="G28">
        <f>(-coord!$B$2*($V28*1000-coord!$D$2)+coord!$D$2*($T28*1000-coord!$B$2))/(SQRT(coord!$B$2^2+coord!$C$2^2+coord!$D$2^2)*SQRT(($T28*1000-coord!$B$2)^2+($U28*1000-coord!$C$2)^2+($V28*1000-coord!$D$2)^2))</f>
        <v>-0.30700846702833934</v>
      </c>
      <c r="H28">
        <f>(coord!$B$2*($U28*1000-coord!$C$2)-coord!$C$2*($T28*1000-coord!$B$2))/(SQRT(coord!$B$2^2+coord!$C$2^2+coord!$D$2^2)*SQRT(($T28*1000-coord!$B$2)^2+($U28*1000-coord!$C$2)^2+($V28*1000-coord!$D$2)^2))</f>
        <v>-0.57407959840105094</v>
      </c>
      <c r="I28">
        <f t="shared" si="5"/>
        <v>-0.81498578415319045</v>
      </c>
      <c r="J28">
        <f t="shared" si="6"/>
        <v>-0.43560768047518539</v>
      </c>
      <c r="K28">
        <f t="shared" si="7"/>
        <v>-2.7357588267480915E-3</v>
      </c>
      <c r="L28">
        <f t="shared" si="15"/>
        <v>-61.875617717673606</v>
      </c>
      <c r="M28" s="5">
        <f>'sv10'!$AA$3+'sv10'!$Z$3*($B28)+'sv10'!$Y$3*($B28)^2+'sv10'!$X$3*($B28)^3+'sv10'!$W$3*($B28)^4+'sv10'!$V$3*($B28)^5+'sv10'!$U$3*($B28)^6+'sv10'!$T$3*($B28)^7+'sv10'!$S$3*($B28)^8</f>
        <v>7381.9557699721081</v>
      </c>
      <c r="N28" s="5">
        <f>'sv10'!$AA$4+'sv10'!$Z$4*($B28)+'sv10'!$Y$4*($B28)^2+'sv10'!$X$4*($B28)^3+'sv10'!$W$4*($B28)^4+'sv10'!$V$4*($B28)^5+'sv10'!$U$4*($B28)^6+'sv10'!$T$4*($B28)^7+'sv10'!$S$4*($B28)^8</f>
        <v>-17791.008711143884</v>
      </c>
      <c r="O28" s="5">
        <f>'sv10'!$AA$5+'sv10'!$Z$5*($B28)+'sv10'!$Y$5*($B28)^2+'sv10'!$X$5*($B28)^3+'sv10'!$W$5*($B28)^4+'sv10'!$V$5*($B28)^5+'sv10'!$U$5*($B28)^6+'sv10'!$T$5*($B28)^7+'sv10'!$S$5*($B28)^8</f>
        <v>17947.840174554811</v>
      </c>
      <c r="P28" s="5">
        <f>'sv10'!$AA$6+'sv10'!$Z$6*$B28+'sv10'!$Y$6*$B28^2+'sv10'!$X$6*$B28^3+'sv10'!$W$6*$B28^4+'sv10'!$V$6*$B28^5+'sv10'!$U$6*$B28^6+'sv10'!$T$6*$B28^7+'sv10'!$S$6*$B28^8</f>
        <v>-43.000715373021997</v>
      </c>
      <c r="R28">
        <f>SQRT(($M28*1000-coord!$B$2)^2+($N28*1000-coord!$C$2)^2+($O28*1000-coord!$D$2)^2)/coord!$B$6</f>
        <v>7.7480941037392795E-2</v>
      </c>
      <c r="T28" s="5">
        <f>'sv10'!$AA$3+'sv10'!$Z$3*($B28-$R28/3600)+'sv10'!$Y$3*($B28-$R28/3600)^2+'sv10'!$X$3*($B28-$R28/3600)^3+'sv10'!$W$3*($B28-$R28/3600)^4+'sv10'!$V$3*($B28-$R28/3600)^5+'sv10'!$U$3*($B28-$R28/3600)^6+'sv10'!$T$3*($B28-$R28/3600)^7+'sv10'!$S$3*($B28-$R28/3600)^8+N28*coord!$B$7*R28</f>
        <v>7381.7827358975737</v>
      </c>
      <c r="U28" s="5">
        <f>'sv10'!$AA$4+'sv10'!$Z$4*($B28-$R28/3600)+'sv10'!$Y$4*($B28-$R28/3600)^2+'sv10'!$X$4*($B28-$R28/3600)^3+'sv10'!$W$4*($B28-$R28/3600)^4+'sv10'!$V$4*($B28-$R28/3600)^5+'sv10'!$U$4*($B28-$R28/3600)^6+'sv10'!$T$4*($B28-$R28/3600)^7+'sv10'!$S$4*($B28-$R28/3600)^8-M28*coord!$B$7*R28</f>
        <v>-17791.216566898871</v>
      </c>
      <c r="V28" s="5">
        <f>'sv10'!$AA$5+'sv10'!$Z$5*($B28-$R28/3600)+'sv10'!$Y$5*($B28-$R28/3600)^2+'sv10'!$X$5*($B28-$R28/3600)^3+'sv10'!$W$5*($B28-$R28/3600)^4+'sv10'!$V$5*($B28-$R28/3600)^5+'sv10'!$U$5*($B28-$R28/3600)^6+'sv10'!$T$5*($B28-$R28/3600)^7+'sv10'!$S$5*($B28-$R28/3600)^8</f>
        <v>17947.704034393239</v>
      </c>
      <c r="W28">
        <f>coord!$B$6*P28/10^6</f>
        <v>-12891.290157436651</v>
      </c>
      <c r="X28">
        <f>SQRT(($T28*1000+coord!$B$7*$R28*$U28*1000-coord!$B$2)^2+($U28*1000-coord!$B$7*$R28*$T28*1000-coord!$C$2)^2+($V28*1000-coord!$D$2)^2)</f>
        <v>23228288.892591696</v>
      </c>
      <c r="Y28" s="3">
        <f>$D28-(X28-$W28)-coord!$E$2</f>
        <v>-14.248909298330545</v>
      </c>
      <c r="Z28" s="3"/>
      <c r="AB28">
        <f>-(T28*1000-coord!$B$2)/$X28</f>
        <v>-0.12884739719472466</v>
      </c>
      <c r="AC28">
        <f>-(U28*1000-coord!$C$2)/$X28</f>
        <v>0.80573247847231577</v>
      </c>
      <c r="AD28">
        <f>-(V28*1000-coord!$D$2)/$X28</f>
        <v>-0.57809319585205998</v>
      </c>
      <c r="AE28">
        <v>1</v>
      </c>
      <c r="AG28">
        <v>-0.72747004457393005</v>
      </c>
      <c r="AH28">
        <v>-0.81760720755254912</v>
      </c>
      <c r="AI28">
        <v>-0.57809319585205998</v>
      </c>
      <c r="AJ28">
        <v>-0.48795272674428913</v>
      </c>
      <c r="AK28">
        <v>-0.11220743791619577</v>
      </c>
      <c r="AL28">
        <v>-0.82541208363428764</v>
      </c>
      <c r="AM28">
        <v>8.8886288932236532E-2</v>
      </c>
      <c r="AO28">
        <v>1.1192049312783656</v>
      </c>
      <c r="AP28">
        <v>-0.52488173647428571</v>
      </c>
      <c r="AQ28">
        <v>2.4717802075152662</v>
      </c>
      <c r="AR28">
        <v>-3.4598564073410754</v>
      </c>
      <c r="AT28">
        <v>1.3561673164617685</v>
      </c>
      <c r="AU28">
        <v>0.23219262529369303</v>
      </c>
      <c r="AV28">
        <v>2.2557935396293489</v>
      </c>
      <c r="AW28">
        <v>1.7260199847275943</v>
      </c>
      <c r="AY28">
        <v>23.928464063950145</v>
      </c>
      <c r="BA28">
        <v>12.776346673942573</v>
      </c>
      <c r="BD28">
        <f>SQRT(($T28*1000+coord!$B$7*$R28*$U28*1000-coord!$B$2-BA$26)^2+($U28*1000-coord!$B$7*$R28*$T28*1000-coord!$C$2-BA$27)^2+($V28*1000-coord!$D$2-BA$28)^2)</f>
        <v>23228262.709591232</v>
      </c>
      <c r="BE28" s="3">
        <f t="shared" si="16"/>
        <v>3.1234948884042524</v>
      </c>
      <c r="BG28" s="1"/>
      <c r="BH28" s="1"/>
      <c r="BI28" s="1"/>
      <c r="BV28">
        <f>COS(RADIANS(BK26))</f>
        <v>0.70201364969481217</v>
      </c>
      <c r="BW28">
        <v>0</v>
      </c>
      <c r="BX28">
        <f>SIN(RADIANS(BK26))</f>
        <v>0.71216348940546614</v>
      </c>
      <c r="BZ28" t="s">
        <v>95</v>
      </c>
      <c r="CA28">
        <v>0.68693725208179079</v>
      </c>
      <c r="CB28">
        <v>0.14470789909382537</v>
      </c>
      <c r="CC28">
        <v>0.71216348940546614</v>
      </c>
      <c r="CD28">
        <v>0</v>
      </c>
      <c r="CE28" s="1">
        <v>12.984056502332432</v>
      </c>
      <c r="CG28" s="1"/>
      <c r="CH28" s="1"/>
      <c r="CI28" s="1"/>
      <c r="CK28">
        <v>2.64082172469509</v>
      </c>
      <c r="CL28">
        <v>0.14285872579971096</v>
      </c>
      <c r="CM28">
        <v>2.5716957552854582</v>
      </c>
      <c r="CN28">
        <v>2.4640155357341289</v>
      </c>
      <c r="CP28">
        <v>0.70201364969481217</v>
      </c>
      <c r="CQ28">
        <v>0</v>
      </c>
      <c r="CR28">
        <v>0.71216348940546614</v>
      </c>
      <c r="CS28">
        <v>0</v>
      </c>
      <c r="CU28" s="5">
        <v>-5.5913250766023159E-2</v>
      </c>
      <c r="CV28" s="5">
        <v>-0.4045687476998045</v>
      </c>
      <c r="CW28" s="5">
        <v>3.6662194276509554</v>
      </c>
      <c r="CX28" s="5">
        <v>2.4640155357341289</v>
      </c>
    </row>
    <row r="29" spans="1:111">
      <c r="A29">
        <v>6</v>
      </c>
      <c r="B29">
        <f t="shared" si="14"/>
        <v>0.3</v>
      </c>
      <c r="C29">
        <v>4</v>
      </c>
      <c r="D29">
        <f>tetto!D29*coord!$B$13-tetto!G29*coord!$B$14</f>
        <v>21071523.347000428</v>
      </c>
      <c r="E29" s="5">
        <f>90-DEGREES(ACOS((coord!$B$2*($T29*1000-coord!$B$2)+coord!$C$2*($U29*1000-coord!$C$2)+coord!$D$2*($V29*1000-coord!$D$2))/(SQRT(coord!$B$2^2+coord!$C$2^2+coord!$D$2^2)*SQRT(($T29*1000-coord!$B$2)^2+($U29*1000-coord!$C$2)^2+($V29*1000-coord!$D$2)^2))))</f>
        <v>55.828398834445686</v>
      </c>
      <c r="F29">
        <f>(coord!$C$2*($V29*1000-coord!$D$2)-coord!$D$2*($U29*1000-coord!$C$2))/(SQRT(coord!$B$2^2+coord!$C$2^2+coord!$D$2^2)*SQRT(($T29*1000-coord!$B$2)^2+($U29*1000-coord!$C$2)^2+($V29*1000-coord!$D$2)^2))</f>
        <v>0.34856361315750695</v>
      </c>
      <c r="G29">
        <f>(-coord!$B$2*($V29*1000-coord!$D$2)+coord!$D$2*($T29*1000-coord!$B$2))/(SQRT(coord!$B$2^2+coord!$C$2^2+coord!$D$2^2)*SQRT(($T29*1000-coord!$B$2)^2+($U29*1000-coord!$C$2)^2+($V29*1000-coord!$D$2)^2))</f>
        <v>0.21750495137075423</v>
      </c>
      <c r="H29">
        <f>(coord!$B$2*($U29*1000-coord!$C$2)-coord!$C$2*($T29*1000-coord!$B$2))/(SQRT(coord!$B$2^2+coord!$C$2^2+coord!$D$2^2)*SQRT(($T29*1000-coord!$B$2)^2+($U29*1000-coord!$C$2)^2+($V29*1000-coord!$D$2)^2))</f>
        <v>-0.38297776857808064</v>
      </c>
      <c r="I29">
        <f t="shared" si="5"/>
        <v>-0.54368859590930985</v>
      </c>
      <c r="J29">
        <f t="shared" si="6"/>
        <v>0.1409834799988281</v>
      </c>
      <c r="K29">
        <f t="shared" si="7"/>
        <v>-1.8266249860154904E-3</v>
      </c>
      <c r="L29">
        <f t="shared" si="15"/>
        <v>255.46286129177102</v>
      </c>
      <c r="M29" s="5">
        <f>'sv04'!$AA$3+'sv04'!$Z$3*($B29)+'sv04'!$Y$3*($B29)^2+'sv04'!$X$3*($B29)^3+'sv04'!$W$3*($B29)^4+'sv04'!$V$3*($B29)^5+'sv04'!$U$3*($B29)^6+'sv04'!$T$3*($B29)^7+'sv04'!$S$3*($B29)^8</f>
        <v>20850.813423208863</v>
      </c>
      <c r="N29" s="5">
        <f>'sv04'!$AA$4+'sv04'!$Z$4*($B29)+'sv04'!$Y$4*($B29)^2+'sv04'!$X$4*($B29)^3+'sv04'!$W$4*($B29)^4+'sv04'!$V$4*($B29)^5+'sv04'!$U$4*($B29)^6+'sv04'!$T$4*($B29)^7+'sv04'!$S$4*($B29)^8</f>
        <v>-7329.7084580011269</v>
      </c>
      <c r="O29" s="5">
        <f>'sv04'!$AA$5+'sv04'!$Z$5*($B29)+'sv04'!$Y$5*($B29)^2+'sv04'!$X$5*($B29)^3+'sv04'!$W$5*($B29)^4+'sv04'!$V$5*($B29)^5+'sv04'!$U$5*($B29)^6+'sv04'!$T$5*($B29)^7+'sv04'!$S$5*($B29)^8</f>
        <v>14814.010479327357</v>
      </c>
      <c r="P29" s="5">
        <f>'sv04'!$AA$6+'sv04'!$Z$6*$B29+'sv04'!$Y$6*$B29^2+'sv04'!$X$6*$B29^3+'sv04'!$W$6*$B29^4+'sv04'!$V$6*$B29^5+'sv04'!$U$6*$B29^6+'sv04'!$T$6*$B29^7+'sv04'!$S$6*$B29^8</f>
        <v>86.596351621246143</v>
      </c>
      <c r="R29">
        <f>SQRT(($M29*1000-coord!$B$2)^2+($N29*1000-coord!$C$2)^2+($O29*1000-coord!$D$2)^2)/coord!$B$6</f>
        <v>7.0373609956912511E-2</v>
      </c>
      <c r="T29" s="5">
        <f>'sv04'!$AA$3+'sv04'!$Z$3*($B29-$R29/3600)+'sv04'!$Y$3*($B29-$R29/3600)^2+'sv04'!$X$3*($B29-$R29/3600)^3+'sv04'!$W$3*($B29-$R29/3600)^4+'sv04'!$V$3*($B29-$R29/3600)^5+'sv04'!$U$3*($B29-$R29/3600)^6+'sv04'!$T$3*($B29-$R29/3600)^7+'sv04'!$S$3*($B29-$R29/3600)^8+N29*coord!$B$7*R29</f>
        <v>20850.64682514868</v>
      </c>
      <c r="U29" s="5">
        <f>'sv04'!$AA$4+'sv04'!$Z$4*($B29-$R29/3600)+'sv04'!$Y$4*($B29-$R29/3600)^2+'sv04'!$X$4*($B29-$R29/3600)^3+'sv04'!$W$4*($B29-$R29/3600)^4+'sv04'!$V$4*($B29-$R29/3600)^5+'sv04'!$U$4*($B29-$R29/3600)^6+'sv04'!$T$4*($B29-$R29/3600)^7+'sv04'!$S$4*($B29-$R29/3600)^8-M29*coord!$B$7*R29</f>
        <v>-7329.8549357157008</v>
      </c>
      <c r="V29" s="5">
        <f>'sv04'!$AA$5+'sv04'!$Z$5*($B29-$R29/3600)+'sv04'!$Y$5*($B29-$R29/3600)^2+'sv04'!$X$5*($B29-$R29/3600)^3+'sv04'!$W$5*($B29-$R29/3600)^4+'sv04'!$V$5*($B29-$R29/3600)^5+'sv04'!$U$5*($B29-$R29/3600)^6+'sv04'!$T$5*($B29-$R29/3600)^7+'sv04'!$S$5*($B29-$R29/3600)^8</f>
        <v>14814.16812720475</v>
      </c>
      <c r="W29">
        <f>coord!$B$6*P29/10^6</f>
        <v>25960.933106365665</v>
      </c>
      <c r="X29">
        <f>SQRT(($T29*1000+coord!$B$7*$R29*$U29*1000-coord!$B$2)^2+($U29*1000-coord!$B$7*$R29*$T29*1000-coord!$C$2)^2+($V29*1000-coord!$D$2)^2)</f>
        <v>21097494.262594026</v>
      </c>
      <c r="Y29" s="3">
        <f>$D29-(X29-$W29)-coord!$E$2</f>
        <v>-9.9824872314929962</v>
      </c>
      <c r="Z29" s="3"/>
      <c r="AB29">
        <f>-(T29*1000-coord!$B$2)/$X29</f>
        <v>-0.78027127058095647</v>
      </c>
      <c r="AC29">
        <f>-(U29*1000-coord!$C$2)/$X29</f>
        <v>0.39125144655452482</v>
      </c>
      <c r="AD29">
        <f>-(V29*1000-coord!$D$2)/$X29</f>
        <v>-0.48795272674428913</v>
      </c>
      <c r="AE29">
        <v>1</v>
      </c>
      <c r="AG29">
        <v>1</v>
      </c>
      <c r="AH29">
        <v>1</v>
      </c>
      <c r="AI29">
        <v>1</v>
      </c>
      <c r="AJ29">
        <v>1</v>
      </c>
      <c r="AK29">
        <v>1</v>
      </c>
      <c r="AL29">
        <v>1</v>
      </c>
      <c r="AM29">
        <v>1</v>
      </c>
      <c r="AO29">
        <v>-3.1657459019374112</v>
      </c>
      <c r="AP29">
        <v>6.8318117521100341E-2</v>
      </c>
      <c r="AQ29">
        <v>-3.4598564073410754</v>
      </c>
      <c r="AR29">
        <v>7</v>
      </c>
      <c r="AT29">
        <v>1.7871616842712472</v>
      </c>
      <c r="AU29">
        <v>4.9335138250969364E-2</v>
      </c>
      <c r="AV29">
        <v>1.7260199847275937</v>
      </c>
      <c r="AW29">
        <v>1.8037300853809746</v>
      </c>
      <c r="AY29">
        <v>-16.384577877819538</v>
      </c>
      <c r="BA29">
        <v>8.8105962772575594</v>
      </c>
      <c r="BD29">
        <f>SQRT(($T29*1000+coord!$B$7*$R29*$U29*1000-coord!$B$2-BA$26)^2+($U29*1000-coord!$B$7*$R29*$T29*1000-coord!$C$2-BA$27)^2+($V29*1000-coord!$D$2-BA$28)^2)</f>
        <v>21097471.561555065</v>
      </c>
      <c r="BE29" s="3">
        <f t="shared" si="16"/>
        <v>3.9079554516168855</v>
      </c>
      <c r="BG29" s="1"/>
      <c r="BH29" s="1"/>
      <c r="BI29" s="1"/>
      <c r="CA29">
        <v>0</v>
      </c>
      <c r="CB29">
        <v>0</v>
      </c>
      <c r="CC29">
        <v>0</v>
      </c>
      <c r="CD29">
        <v>1</v>
      </c>
      <c r="CG29" s="1"/>
      <c r="CH29" s="1"/>
      <c r="CI29" s="1"/>
      <c r="CK29">
        <v>1.7871616842712472</v>
      </c>
      <c r="CL29">
        <v>4.9335138250969364E-2</v>
      </c>
      <c r="CM29">
        <v>1.7260199847275937</v>
      </c>
      <c r="CN29">
        <v>1.8037300853809746</v>
      </c>
      <c r="CP29">
        <v>0</v>
      </c>
      <c r="CQ29">
        <v>0</v>
      </c>
      <c r="CR29">
        <v>0</v>
      </c>
      <c r="CS29">
        <v>1</v>
      </c>
      <c r="CU29" s="5">
        <v>-4.0970595319060665E-2</v>
      </c>
      <c r="CV29" s="5">
        <v>-0.32011666506537895</v>
      </c>
      <c r="CW29" s="5">
        <v>2.4640155357341293</v>
      </c>
      <c r="CX29" s="5">
        <v>1.8037300853809746</v>
      </c>
    </row>
    <row r="30" spans="1:111">
      <c r="A30">
        <v>6</v>
      </c>
      <c r="B30">
        <f t="shared" si="14"/>
        <v>0.3</v>
      </c>
      <c r="C30">
        <v>20</v>
      </c>
      <c r="D30">
        <f>tetto!D30*coord!$B$13-tetto!G30*coord!$B$14</f>
        <v>22734899.849693432</v>
      </c>
      <c r="E30" s="5">
        <f>90-DEGREES(ACOS((coord!$B$2*($T30*1000-coord!$B$2)+coord!$C$2*($U30*1000-coord!$C$2)+coord!$D$2*($V30*1000-coord!$D$2))/(SQRT(coord!$B$2^2+coord!$C$2^2+coord!$D$2^2)*SQRT(($T30*1000-coord!$B$2)^2+($U30*1000-coord!$C$2)^2+($V30*1000-coord!$D$2)^2))))</f>
        <v>30.416197317897257</v>
      </c>
      <c r="F30">
        <f>(coord!$C$2*($V30*1000-coord!$D$2)-coord!$D$2*($U30*1000-coord!$C$2))/(SQRT(coord!$B$2^2+coord!$C$2^2+coord!$D$2^2)*SQRT(($T30*1000-coord!$B$2)^2+($U30*1000-coord!$C$2)^2+($V30*1000-coord!$D$2)^2))</f>
        <v>-0.61947566983666003</v>
      </c>
      <c r="G30">
        <f>(-coord!$B$2*($V30*1000-coord!$D$2)+coord!$D$2*($T30*1000-coord!$B$2))/(SQRT(coord!$B$2^2+coord!$C$2^2+coord!$D$2^2)*SQRT(($T30*1000-coord!$B$2)^2+($U30*1000-coord!$C$2)^2+($V30*1000-coord!$D$2)^2))</f>
        <v>0.22806479684648592</v>
      </c>
      <c r="H30">
        <f>(coord!$B$2*($U30*1000-coord!$C$2)-coord!$C$2*($T30*1000-coord!$B$2))/(SQRT(coord!$B$2^2+coord!$C$2^2+coord!$D$2^2)*SQRT(($T30*1000-coord!$B$2)^2+($U30*1000-coord!$C$2)^2+($V30*1000-coord!$D$2)^2))</f>
        <v>0.55490482199564706</v>
      </c>
      <c r="I30">
        <f t="shared" si="5"/>
        <v>0.7877642670881374</v>
      </c>
      <c r="J30">
        <f t="shared" si="6"/>
        <v>0.35086106076114232</v>
      </c>
      <c r="K30">
        <f t="shared" si="7"/>
        <v>2.644635113622118E-3</v>
      </c>
      <c r="L30">
        <f t="shared" si="15"/>
        <v>114.00763628723607</v>
      </c>
      <c r="M30" s="5">
        <f>'sv20'!$AA$3+'sv20'!$Z$3*($B30)+'sv20'!$Y$3*($B30)^2+'sv20'!$X$3*($B30)^3+'sv20'!$W$3*($B30)^4+'sv20'!$V$3*($B30)^5+'sv20'!$U$3*($B30)^6+'sv20'!$T$3*($B30)^7+'sv20'!$S$3*($B30)^8</f>
        <v>14178.107794018128</v>
      </c>
      <c r="N30" s="5">
        <f>'sv20'!$AA$4+'sv20'!$Z$4*($B30)+'sv20'!$Y$4*($B30)^2+'sv20'!$X$4*($B30)^3+'sv20'!$W$4*($B30)^4+'sv20'!$V$4*($B30)^5+'sv20'!$U$4*($B30)^6+'sv20'!$T$4*($B30)^7+'sv20'!$S$4*($B30)^8</f>
        <v>21303.338057957892</v>
      </c>
      <c r="O30" s="5">
        <f>'sv20'!$AA$5+'sv20'!$Z$5*($B30)+'sv20'!$Y$5*($B30)^2+'sv20'!$X$5*($B30)^3+'sv20'!$W$5*($B30)^4+'sv20'!$V$5*($B30)^5+'sv20'!$U$5*($B30)^6+'sv20'!$T$5*($B30)^7+'sv20'!$S$5*($B30)^8</f>
        <v>7072.2644089905825</v>
      </c>
      <c r="P30" s="5">
        <f>'sv20'!$AA$6+'sv20'!$Z$6*$B30+'sv20'!$Y$6*$B30^2+'sv20'!$X$6*$B30^3+'sv20'!$W$6*$B30^4+'sv20'!$V$6*$B30^5+'sv20'!$U$6*$B30^6+'sv20'!$T$6*$B30^7+'sv20'!$S$6*$B30^8</f>
        <v>55.818140224047845</v>
      </c>
      <c r="R30">
        <f>SQRT(($M30*1000-coord!$B$2)^2+($N30*1000-coord!$C$2)^2+($O30*1000-coord!$D$2)^2)/coord!$B$6</f>
        <v>7.5891465451239176E-2</v>
      </c>
      <c r="T30" s="5">
        <f>'sv20'!$AA$3+'sv20'!$Z$3*($B30-$R30/3600)+'sv20'!$Y$3*($B30-$R30/3600)^2+'sv20'!$X$3*($B30-$R30/3600)^3+'sv20'!$W$3*($B30-$R30/3600)^4+'sv20'!$V$3*($B30-$R30/3600)^5+'sv20'!$U$3*($B30-$R30/3600)^6+'sv20'!$T$3*($B30-$R30/3600)^7+'sv20'!$S$3*($B30-$R30/3600)^8+N30*coord!$B$7*R30</f>
        <v>14178.223173312614</v>
      </c>
      <c r="U30" s="5">
        <f>'sv20'!$AA$4+'sv20'!$Z$4*($B30-$R30/3600)+'sv20'!$Y$4*($B30-$R30/3600)^2+'sv20'!$X$4*($B30-$R30/3600)^3+'sv20'!$W$4*($B30-$R30/3600)^4+'sv20'!$V$4*($B30-$R30/3600)^5+'sv20'!$U$4*($B30-$R30/3600)^6+'sv20'!$T$4*($B30-$R30/3600)^7+'sv20'!$S$4*($B30-$R30/3600)^8-M30*coord!$B$7*R30</f>
        <v>21303.185527679892</v>
      </c>
      <c r="V30" s="5">
        <f>'sv20'!$AA$5+'sv20'!$Z$5*($B30-$R30/3600)+'sv20'!$Y$5*($B30-$R30/3600)^2+'sv20'!$X$5*($B30-$R30/3600)^3+'sv20'!$W$5*($B30-$R30/3600)^4+'sv20'!$V$5*($B30-$R30/3600)^5+'sv20'!$U$5*($B30-$R30/3600)^6+'sv20'!$T$5*($B30-$R30/3600)^7+'sv20'!$S$5*($B30-$R30/3600)^8</f>
        <v>7072.4878614570016</v>
      </c>
      <c r="W30">
        <f>coord!$B$6*P30/10^6</f>
        <v>16733.857458755974</v>
      </c>
      <c r="X30">
        <f>SQRT(($T30*1000+coord!$B$7*$R30*$U30*1000-coord!$B$2)^2+($U30*1000-coord!$B$7*$R30*$T30*1000-coord!$C$2)^2+($V30*1000-coord!$D$2)^2)</f>
        <v>22751607.509866528</v>
      </c>
      <c r="Y30" s="3">
        <f>$D30-(X30-$W30)-coord!$E$2</f>
        <v>26.197285659611225</v>
      </c>
      <c r="Z30" s="3"/>
      <c r="AB30">
        <f>-(T30*1000-coord!$B$2)/$X30</f>
        <v>-0.43027047641654936</v>
      </c>
      <c r="AC30">
        <f>-(U30*1000-coord!$C$2)/$X30</f>
        <v>-0.89570002056524778</v>
      </c>
      <c r="AD30">
        <f>-(V30*1000-coord!$D$2)/$X30</f>
        <v>-0.11220743791619577</v>
      </c>
      <c r="AE30">
        <v>1</v>
      </c>
      <c r="BD30">
        <f>SQRT(($T30*1000+coord!$B$7*$R30*$U30*1000-coord!$B$2-BA$26)^2+($U30*1000-coord!$B$7*$R30*$T30*1000-coord!$C$2-BA$27)^2+($V30*1000-coord!$D$2-BA$28)^2)</f>
        <v>22751621.107551821</v>
      </c>
      <c r="BE30" s="3">
        <f t="shared" si="16"/>
        <v>3.7890040899904989</v>
      </c>
      <c r="BG30" s="1"/>
      <c r="BH30" s="1"/>
      <c r="BI30" s="1"/>
      <c r="CG30" s="1"/>
      <c r="CH30" s="1"/>
      <c r="CI30" s="1"/>
    </row>
    <row r="31" spans="1:111">
      <c r="A31">
        <v>6</v>
      </c>
      <c r="B31">
        <f t="shared" si="14"/>
        <v>0.3</v>
      </c>
      <c r="C31">
        <v>13</v>
      </c>
      <c r="D31">
        <f>tetto!D31*coord!$B$13-tetto!G31*coord!$B$14</f>
        <v>20077711.546821386</v>
      </c>
      <c r="E31" s="5">
        <f>90-DEGREES(ACOS((coord!$B$2*($T31*1000-coord!$B$2)+coord!$C$2*($U31*1000-coord!$C$2)+coord!$D$2*($V31*1000-coord!$D$2))/(SQRT(coord!$B$2^2+coord!$C$2^2+coord!$D$2^2)*SQRT(($T31*1000-coord!$B$2)^2+($U31*1000-coord!$C$2)^2+($V31*1000-coord!$D$2)^2))))</f>
        <v>79.370397650737956</v>
      </c>
      <c r="F31">
        <f>(coord!$C$2*($V31*1000-coord!$D$2)-coord!$D$2*($U31*1000-coord!$C$2))/(SQRT(coord!$B$2^2+coord!$C$2^2+coord!$D$2^2)*SQRT(($T31*1000-coord!$B$2)^2+($U31*1000-coord!$C$2)^2+($V31*1000-coord!$D$2)^2))</f>
        <v>1.4226039572423117E-2</v>
      </c>
      <c r="G31">
        <f>(-coord!$B$2*($V31*1000-coord!$D$2)+coord!$D$2*($T31*1000-coord!$B$2))/(SQRT(coord!$B$2^2+coord!$C$2^2+coord!$D$2^2)*SQRT(($T31*1000-coord!$B$2)^2+($U31*1000-coord!$C$2)^2+($V31*1000-coord!$D$2)^2))</f>
        <v>-0.18240226262892612</v>
      </c>
      <c r="H31">
        <f>(coord!$B$2*($U31*1000-coord!$C$2)-coord!$C$2*($T31*1000-coord!$B$2))/(SQRT(coord!$B$2^2+coord!$C$2^2+coord!$D$2^2)*SQRT(($T31*1000-coord!$B$2)^2+($U31*1000-coord!$C$2)^2+($V31*1000-coord!$D$2)^2))</f>
        <v>2.3499340617944547E-2</v>
      </c>
      <c r="I31">
        <f t="shared" si="5"/>
        <v>3.3359851509762492E-2</v>
      </c>
      <c r="J31">
        <f t="shared" si="6"/>
        <v>-0.18141745293286252</v>
      </c>
      <c r="K31">
        <f t="shared" si="7"/>
        <v>1.1270379441292999E-4</v>
      </c>
      <c r="L31">
        <f t="shared" si="15"/>
        <v>10.419405574618196</v>
      </c>
      <c r="M31" s="5">
        <f>'sv13'!$AA$3+'sv13'!$Z$3*($B31)+'sv13'!$Y$3*($B31)^2+'sv13'!$X$3*($B31)^3+'sv13'!$W$3*($B31)^4+'sv13'!$V$3*($B31)^5+'sv13'!$U$3*($B31)^6+'sv13'!$T$3*($B31)^7+'sv13'!$S$3*($B31)^8</f>
        <v>15372.00223812273</v>
      </c>
      <c r="N31" s="5">
        <f>'sv13'!$AA$4+'sv13'!$Z$4*($B31)+'sv13'!$Y$4*($B31)^2+'sv13'!$X$4*($B31)^3+'sv13'!$W$4*($B31)^4+'sv13'!$V$4*($B31)^5+'sv13'!$U$4*($B31)^6+'sv13'!$T$4*($B31)^7+'sv13'!$S$4*($B31)^8</f>
        <v>3926.1549124272942</v>
      </c>
      <c r="O31" s="5">
        <f>'sv13'!$AA$5+'sv13'!$Z$5*($B31)+'sv13'!$Y$5*($B31)^2+'sv13'!$X$5*($B31)^3+'sv13'!$W$5*($B31)^4+'sv13'!$V$5*($B31)^5+'sv13'!$U$5*($B31)^6+'sv13'!$T$5*($B31)^7+'sv13'!$S$5*($B31)^8</f>
        <v>21167.320857342846</v>
      </c>
      <c r="P31" s="5">
        <f>'sv13'!$AA$6+'sv13'!$Z$6*$B31+'sv13'!$Y$6*$B31^2+'sv13'!$X$6*$B31^3+'sv13'!$W$6*$B31^4+'sv13'!$V$6*$B31^5+'sv13'!$U$6*$B31^6+'sv13'!$T$6*$B31^7+'sv13'!$S$6*$B31^8</f>
        <v>304.21960510125609</v>
      </c>
      <c r="R31">
        <f>SQRT(($M31*1000-coord!$B$2)^2+($N31*1000-coord!$C$2)^2+($O31*1000-coord!$D$2)^2)/coord!$B$6</f>
        <v>6.7276291317990983E-2</v>
      </c>
      <c r="T31" s="5">
        <f>'sv13'!$AA$3+'sv13'!$Z$3*($B31-$R31/3600)+'sv13'!$Y$3*($B31-$R31/3600)^2+'sv13'!$X$3*($B31-$R31/3600)^3+'sv13'!$W$3*($B31-$R31/3600)^4+'sv13'!$V$3*($B31-$R31/3600)^5+'sv13'!$U$3*($B31-$R31/3600)^6+'sv13'!$T$3*($B31-$R31/3600)^7+'sv13'!$S$3*($B31-$R31/3600)^8+N31*coord!$B$7*R31</f>
        <v>15372.145164687419</v>
      </c>
      <c r="U31" s="5">
        <f>'sv13'!$AA$4+'sv13'!$Z$4*($B31-$R31/3600)+'sv13'!$Y$4*($B31-$R31/3600)^2+'sv13'!$X$4*($B31-$R31/3600)^3+'sv13'!$W$4*($B31-$R31/3600)^4+'sv13'!$V$4*($B31-$R31/3600)^5+'sv13'!$U$4*($B31-$R31/3600)^6+'sv13'!$T$4*($B31-$R31/3600)^7+'sv13'!$S$4*($B31-$R31/3600)^8-M31*coord!$B$7*R31</f>
        <v>3925.9453634540869</v>
      </c>
      <c r="V31" s="5">
        <f>'sv13'!$AA$5+'sv13'!$Z$5*($B31-$R31/3600)+'sv13'!$Y$5*($B31-$R31/3600)^2+'sv13'!$X$5*($B31-$R31/3600)^3+'sv13'!$W$5*($B31-$R31/3600)^4+'sv13'!$V$5*($B31-$R31/3600)^5+'sv13'!$U$5*($B31-$R31/3600)^6+'sv13'!$T$5*($B31-$R31/3600)^7+'sv13'!$S$5*($B31-$R31/3600)^8</f>
        <v>21167.256558928919</v>
      </c>
      <c r="W31">
        <f>coord!$B$6*P31/10^6</f>
        <v>91202.743185094907</v>
      </c>
      <c r="X31">
        <f>SQRT(($T31*1000+coord!$B$7*$R31*$U31*1000-coord!$B$2)^2+($U31*1000-coord!$B$7*$R31*$T31*1000-coord!$C$2)^2+($V31*1000-coord!$D$2)^2)</f>
        <v>20168917.580330629</v>
      </c>
      <c r="Y31" s="3">
        <f>$D31-(X31-$W31)-coord!$E$2</f>
        <v>-3.2903241477906704</v>
      </c>
      <c r="Z31" s="3"/>
      <c r="AB31">
        <f>-(T31*1000-coord!$B$2)/$X31</f>
        <v>-0.54456402779882696</v>
      </c>
      <c r="AC31">
        <f>-(U31*1000-coord!$C$2)/$X31</f>
        <v>-0.14881191012358161</v>
      </c>
      <c r="AD31">
        <f>-(V31*1000-coord!$D$2)/$X31</f>
        <v>-0.82541208363428764</v>
      </c>
      <c r="AE31">
        <v>1</v>
      </c>
      <c r="BD31">
        <f>SQRT(($T31*1000+coord!$B$7*$R31*$U31*1000-coord!$B$2-BA$26)^2+($U31*1000-coord!$B$7*$R31*$T31*1000-coord!$C$2-BA$27)^2+($V31*1000-coord!$D$2-BA$28)^2)</f>
        <v>20168904.694208823</v>
      </c>
      <c r="BE31" s="3">
        <f t="shared" si="16"/>
        <v>0.78520138070905432</v>
      </c>
      <c r="BG31" s="1"/>
      <c r="BH31" s="1"/>
      <c r="BI31" s="1"/>
      <c r="CG31" s="1"/>
      <c r="CH31" s="1"/>
      <c r="CI31" s="1"/>
    </row>
    <row r="32" spans="1:111">
      <c r="A32">
        <v>6</v>
      </c>
      <c r="B32">
        <f t="shared" si="14"/>
        <v>0.3</v>
      </c>
      <c r="C32">
        <v>7</v>
      </c>
      <c r="D32">
        <f>tetto!D32*coord!$B$13-tetto!G32*coord!$B$14</f>
        <v>22134767.677164018</v>
      </c>
      <c r="E32" s="5">
        <f>90-DEGREES(ACOS((coord!$B$2*($T32*1000-coord!$B$2)+coord!$C$2*($U32*1000-coord!$C$2)+coord!$D$2*($V32*1000-coord!$D$2))/(SQRT(coord!$B$2^2+coord!$C$2^2+coord!$D$2^2)*SQRT(($T32*1000-coord!$B$2)^2+($U32*1000-coord!$C$2)^2+($V32*1000-coord!$D$2)^2))))</f>
        <v>39.638695595155326</v>
      </c>
      <c r="F32">
        <f>(coord!$C$2*($V32*1000-coord!$D$2)-coord!$D$2*($U32*1000-coord!$C$2))/(SQRT(coord!$B$2^2+coord!$C$2^2+coord!$D$2^2)*SQRT(($T32*1000-coord!$B$2)^2+($U32*1000-coord!$C$2)^2+($V32*1000-coord!$D$2)^2))</f>
        <v>-0.1865954221353002</v>
      </c>
      <c r="G32">
        <f>(-coord!$B$2*($V32*1000-coord!$D$2)+coord!$D$2*($T32*1000-coord!$B$2))/(SQRT(coord!$B$2^2+coord!$C$2^2+coord!$D$2^2)*SQRT(($T32*1000-coord!$B$2)^2+($U32*1000-coord!$C$2)^2+($V32*1000-coord!$D$2)^2))</f>
        <v>0.74659147551824445</v>
      </c>
      <c r="H32">
        <f>(coord!$B$2*($U32*1000-coord!$C$2)-coord!$C$2*($T32*1000-coord!$B$2))/(SQRT(coord!$B$2^2+coord!$C$2^2+coord!$D$2^2)*SQRT(($T32*1000-coord!$B$2)^2+($U32*1000-coord!$C$2)^2+($V32*1000-coord!$D$2)^2))</f>
        <v>2.8469039097937021E-2</v>
      </c>
      <c r="I32">
        <f t="shared" si="5"/>
        <v>4.0418491881621513E-2</v>
      </c>
      <c r="J32">
        <f t="shared" si="6"/>
        <v>0.76902112903196029</v>
      </c>
      <c r="K32">
        <f t="shared" si="7"/>
        <v>1.3297347290874145E-4</v>
      </c>
      <c r="L32">
        <f t="shared" si="15"/>
        <v>176.99139587147451</v>
      </c>
      <c r="M32" s="5">
        <f>'sv07'!$AA$3+'sv07'!$Z$3*($B32)+'sv07'!$Y$3*($B32)^2+'sv07'!$X$3*($B32)^3+'sv07'!$W$3*($B32)^4+'sv07'!$V$3*($B32)^5+'sv07'!$U$3*($B32)^6+'sv07'!$T$3*($B32)^7+'sv07'!$S$3*($B32)^8</f>
        <v>25760.102459397764</v>
      </c>
      <c r="N32" s="5">
        <f>'sv07'!$AA$4+'sv07'!$Z$4*($B32)+'sv07'!$Y$4*($B32)^2+'sv07'!$X$4*($B32)^3+'sv07'!$W$4*($B32)^4+'sv07'!$V$4*($B32)^5+'sv07'!$U$4*($B32)^6+'sv07'!$T$4*($B32)^7+'sv07'!$S$4*($B32)^8</f>
        <v>6341.0647468712896</v>
      </c>
      <c r="O32" s="5">
        <f>'sv07'!$AA$5+'sv07'!$Z$5*($B32)+'sv07'!$Y$5*($B32)^2+'sv07'!$X$5*($B32)^3+'sv07'!$W$5*($B32)^4+'sv07'!$V$5*($B32)^5+'sv07'!$U$5*($B32)^6+'sv07'!$T$5*($B32)^7+'sv07'!$S$5*($B32)^8</f>
        <v>2552.3617730114584</v>
      </c>
      <c r="P32" s="5">
        <f>'sv07'!$AA$6+'sv07'!$Z$6*$B32+'sv07'!$Y$6*$B32^2+'sv07'!$X$6*$B32^3+'sv07'!$W$6*$B32^4+'sv07'!$V$6*$B32^5+'sv07'!$U$6*$B32^6+'sv07'!$T$6*$B32^7+'sv07'!$S$6*$B32^8</f>
        <v>-0.63760314227516568</v>
      </c>
      <c r="R32">
        <f>SQRT(($M32*1000-coord!$B$2)^2+($N32*1000-coord!$C$2)^2+($O32*1000-coord!$D$2)^2)/coord!$B$6</f>
        <v>7.3832859972555551E-2</v>
      </c>
      <c r="T32" s="5">
        <f>'sv07'!$AA$3+'sv07'!$Z$3*($B32-$R32/3600)+'sv07'!$Y$3*($B32-$R32/3600)^2+'sv07'!$X$3*($B32-$R32/3600)^3+'sv07'!$W$3*($B32-$R32/3600)^4+'sv07'!$V$3*($B32-$R32/3600)^5+'sv07'!$U$3*($B32-$R32/3600)^6+'sv07'!$T$3*($B32-$R32/3600)^7+'sv07'!$S$3*($B32-$R32/3600)^8+N32*coord!$B$7*R32</f>
        <v>25760.163111778074</v>
      </c>
      <c r="U32" s="5">
        <f>'sv07'!$AA$4+'sv07'!$Z$4*($B32-$R32/3600)+'sv07'!$Y$4*($B32-$R32/3600)^2+'sv07'!$X$4*($B32-$R32/3600)^3+'sv07'!$W$4*($B32-$R32/3600)^4+'sv07'!$V$4*($B32-$R32/3600)^5+'sv07'!$U$4*($B32-$R32/3600)^6+'sv07'!$T$4*($B32-$R32/3600)^7+'sv07'!$S$4*($B32-$R32/3600)^8-M32*coord!$B$7*R32</f>
        <v>6340.9133837181789</v>
      </c>
      <c r="V32" s="5">
        <f>'sv07'!$AA$5+'sv07'!$Z$5*($B32-$R32/3600)+'sv07'!$Y$5*($B32-$R32/3600)^2+'sv07'!$X$5*($B32-$R32/3600)^3+'sv07'!$W$5*($B32-$R32/3600)^4+'sv07'!$V$5*($B32-$R32/3600)^5+'sv07'!$U$5*($B32-$R32/3600)^6+'sv07'!$T$5*($B32-$R32/3600)^7+'sv07'!$S$5*($B32-$R32/3600)^8</f>
        <v>2552.1279655042517</v>
      </c>
      <c r="W32">
        <f>coord!$B$6*P32/10^6</f>
        <v>-191.14861325119563</v>
      </c>
      <c r="X32">
        <f>SQRT(($T32*1000+coord!$B$7*$R32*$U32*1000-coord!$B$2)^2+($U32*1000-coord!$B$7*$R32*$T32*1000-coord!$C$2)^2+($V32*1000-coord!$D$2)^2)</f>
        <v>22134575.899503056</v>
      </c>
      <c r="Y32" s="3">
        <f>$D32-(X32-$W32)-coord!$E$2</f>
        <v>0.62904771044850349</v>
      </c>
      <c r="Z32" s="3" t="s">
        <v>127</v>
      </c>
      <c r="AA32" s="1" t="s">
        <v>128</v>
      </c>
      <c r="AB32">
        <f>-(T32*1000-coord!$B$2)/$X32</f>
        <v>-0.9655158986559973</v>
      </c>
      <c r="AC32">
        <f>-(U32*1000-coord!$C$2)/$X32</f>
        <v>-0.24470056237399068</v>
      </c>
      <c r="AD32">
        <f>-(V32*1000-coord!$D$2)/$X32</f>
        <v>8.8886288932236532E-2</v>
      </c>
      <c r="AE32">
        <v>1</v>
      </c>
      <c r="BD32">
        <f>SQRT(($T32*1000+coord!$B$7*$R32*$U32*1000-coord!$B$2-BA$26)^2+($U32*1000-coord!$B$7*$R32*$T32*1000-coord!$C$2-BA$27)^2+($V32*1000-coord!$D$2-BA$28)^2)</f>
        <v>22134572.470342334</v>
      </c>
      <c r="BE32" s="3">
        <f t="shared" si="16"/>
        <v>-4.7523878452090003</v>
      </c>
      <c r="BF32" s="3" t="s">
        <v>127</v>
      </c>
      <c r="BG32" s="1" t="s">
        <v>128</v>
      </c>
      <c r="BH32" s="1"/>
      <c r="BI32" s="1"/>
      <c r="CG32" s="1"/>
      <c r="CH32" s="1"/>
      <c r="CI32" s="1"/>
    </row>
    <row r="33" spans="1:111">
      <c r="Y33" s="3"/>
      <c r="Z33" s="3">
        <f>AVERAGE($Y26:$Y32)</f>
        <v>-2.3406539825456485</v>
      </c>
      <c r="AA33" s="1">
        <f>SQRT(DEVSQ($Y26:$Y32)/6)</f>
        <v>15.278694300513282</v>
      </c>
      <c r="BE33" s="3"/>
      <c r="BF33" s="3">
        <f>AVERAGE($BE26:$BE32)</f>
        <v>6.6095046301078189E-5</v>
      </c>
      <c r="BG33" s="1">
        <f>SQRT(DEVSQ($BE26:$BE32)/6)</f>
        <v>3.8272137371292922</v>
      </c>
      <c r="BH33" s="1"/>
      <c r="BI33" s="1"/>
      <c r="CG33" s="1"/>
      <c r="CH33" s="1"/>
      <c r="CI33" s="1"/>
    </row>
    <row r="34" spans="1:111">
      <c r="A34">
        <v>8</v>
      </c>
      <c r="B34">
        <f t="shared" ref="B34:B40" si="17">(60-45)/60+30*A34/3600</f>
        <v>0.31666666666666665</v>
      </c>
      <c r="C34">
        <v>2</v>
      </c>
      <c r="D34">
        <f>tetto!D34*coord!$B$13-tetto!G34*coord!$B$14</f>
        <v>22816066.453088447</v>
      </c>
      <c r="E34" s="5">
        <f>90-DEGREES(ACOS((coord!$B$2*($T34*1000-coord!$B$2)+coord!$C$2*($U34*1000-coord!$C$2)+coord!$D$2*($V34*1000-coord!$D$2))/(SQRT(coord!$B$2^2+coord!$C$2^2+coord!$D$2^2)*SQRT(($T34*1000-coord!$B$2)^2+($U34*1000-coord!$C$2)^2+($V34*1000-coord!$D$2)^2))))</f>
        <v>28.171372907985166</v>
      </c>
      <c r="F34">
        <f>(coord!$C$2*($V34*1000-coord!$D$2)-coord!$D$2*($U34*1000-coord!$C$2))/(SQRT(coord!$B$2^2+coord!$C$2^2+coord!$D$2^2)*SQRT(($T34*1000-coord!$B$2)^2+($U34*1000-coord!$C$2)^2+($V34*1000-coord!$D$2)^2))</f>
        <v>0.58955926479695631</v>
      </c>
      <c r="G34">
        <f>(-coord!$B$2*($V34*1000-coord!$D$2)+coord!$D$2*($T34*1000-coord!$B$2))/(SQRT(coord!$B$2^2+coord!$C$2^2+coord!$D$2^2)*SQRT(($T34*1000-coord!$B$2)^2+($U34*1000-coord!$C$2)^2+($V34*1000-coord!$D$2)^2))</f>
        <v>-0.4445498025127862</v>
      </c>
      <c r="H34">
        <f>(coord!$B$2*($U34*1000-coord!$C$2)-coord!$C$2*($T34*1000-coord!$B$2))/(SQRT(coord!$B$2^2+coord!$C$2^2+coord!$D$2^2)*SQRT(($T34*1000-coord!$B$2)^2+($U34*1000-coord!$C$2)^2+($V34*1000-coord!$D$2)^2))</f>
        <v>-0.4815673795662484</v>
      </c>
      <c r="I34">
        <f t="shared" si="5"/>
        <v>-0.68365252983443514</v>
      </c>
      <c r="J34">
        <f t="shared" si="6"/>
        <v>-0.5565300977989911</v>
      </c>
      <c r="K34">
        <f t="shared" si="7"/>
        <v>-2.2942055728142341E-3</v>
      </c>
      <c r="L34">
        <f t="shared" ref="L34:L40" si="18">90+DEGREES(ATAN2(I34,J34))</f>
        <v>-50.852548730426719</v>
      </c>
      <c r="M34" s="5">
        <f>'sv02'!$AA$3+'sv02'!$Z$3*($B34)+'sv02'!$Y$3*($B34)^2+'sv02'!$X$3*($B34)^3+'sv02'!$W$3*($B34)^4+'sv02'!$V$3*($B34)^5+'sv02'!$U$3*($B34)^6+'sv02'!$T$3*($B34)^7+'sv02'!$S$3*($B34)^8</f>
        <v>6215.9668751770196</v>
      </c>
      <c r="N34" s="5">
        <f>'sv02'!$AA$4+'sv02'!$Z$4*($B34)+'sv02'!$Y$4*($B34)^2+'sv02'!$X$4*($B34)^3+'sv02'!$W$4*($B34)^4+'sv02'!$V$4*($B34)^5+'sv02'!$U$4*($B34)^6+'sv02'!$T$4*($B34)^7+'sv02'!$S$4*($B34)^8</f>
        <v>-14685.137733576979</v>
      </c>
      <c r="O34" s="5">
        <f>'sv02'!$AA$5+'sv02'!$Z$5*($B34)+'sv02'!$Y$5*($B34)^2+'sv02'!$X$5*($B34)^3+'sv02'!$W$5*($B34)^4+'sv02'!$V$5*($B34)^5+'sv02'!$U$5*($B34)^6+'sv02'!$T$5*($B34)^7+'sv02'!$S$5*($B34)^8</f>
        <v>21165.888519391774</v>
      </c>
      <c r="P34" s="5">
        <f>'sv02'!$AA$6+'sv02'!$Z$6*$B34+'sv02'!$Y$6*$B34^2+'sv02'!$X$6*$B34^3+'sv02'!$W$6*$B34^4+'sv02'!$V$6*$B34^5+'sv02'!$U$6*$B34^6+'sv02'!$T$6*$B34^7+'sv02'!$S$6*$B34^8</f>
        <v>257.59056740284939</v>
      </c>
      <c r="R34">
        <f>SQRT(($M34*1000-coord!$B$2)^2+($N34*1000-coord!$C$2)^2+($O34*1000-coord!$D$2)^2)/coord!$B$6</f>
        <v>7.6363636842621652E-2</v>
      </c>
      <c r="T34" s="5">
        <f>'sv02'!$AA$3+'sv02'!$Z$3*($B34-$R34/3600)+'sv02'!$Y$3*($B34-$R34/3600)^2+'sv02'!$X$3*($B34-$R34/3600)^3+'sv02'!$W$3*($B34-$R34/3600)^4+'sv02'!$V$3*($B34-$R34/3600)^5+'sv02'!$U$3*($B34-$R34/3600)^6+'sv02'!$T$3*($B34-$R34/3600)^7+'sv02'!$S$3*($B34-$R34/3600)^8+N34*coord!$B$7*R34</f>
        <v>6215.6816219593356</v>
      </c>
      <c r="U34" s="5">
        <f>'sv02'!$AA$4+'sv02'!$Z$4*($B34-$R34/3600)+'sv02'!$Y$4*($B34-$R34/3600)^2+'sv02'!$X$4*($B34-$R34/3600)^3+'sv02'!$W$4*($B34-$R34/3600)^4+'sv02'!$V$4*($B34-$R34/3600)^5+'sv02'!$U$4*($B34-$R34/3600)^6+'sv02'!$T$4*($B34-$R34/3600)^7+'sv02'!$S$4*($B34-$R34/3600)^8-M34*coord!$B$7*R34</f>
        <v>-14685.209273721648</v>
      </c>
      <c r="V34" s="5">
        <f>'sv02'!$AA$5+'sv02'!$Z$5*($B34-$R34/3600)+'sv02'!$Y$5*($B34-$R34/3600)^2+'sv02'!$X$5*($B34-$R34/3600)^3+'sv02'!$W$5*($B34-$R34/3600)^4+'sv02'!$V$5*($B34-$R34/3600)^5+'sv02'!$U$5*($B34-$R34/3600)^6+'sv02'!$T$5*($B34-$R34/3600)^7+'sv02'!$S$5*($B34-$R34/3600)^8</f>
        <v>21165.926103480986</v>
      </c>
      <c r="W34">
        <f>coord!$B$6*P34/10^6</f>
        <v>77223.709359314889</v>
      </c>
      <c r="X34">
        <f>SQRT(($T34*1000+coord!$B$7*$R34*$U34*1000-coord!$B$2)^2+($U34*1000-coord!$B$7*$R34*$T34*1000-coord!$C$2)^2+($V34*1000-coord!$D$2)^2)</f>
        <v>22893312.809943181</v>
      </c>
      <c r="Y34" s="3">
        <f>$D34-(X34-$W34)-coord!$E$2</f>
        <v>-22.647495418787003</v>
      </c>
      <c r="Z34" s="3"/>
      <c r="AB34">
        <f>-(T34*1000-coord!$B$2)/$X34</f>
        <v>-7.9796378371500082E-2</v>
      </c>
      <c r="AC34">
        <f>-(U34*1000-coord!$C$2)/$X34</f>
        <v>0.68184887073844114</v>
      </c>
      <c r="AD34">
        <f>-(V34*1000-coord!$D$2)/$X34</f>
        <v>-0.72712664905146607</v>
      </c>
      <c r="AE34">
        <v>1</v>
      </c>
      <c r="AG34">
        <f t="array" ref="AG34:AM37">TRANSPOSE(AB34:AE40)</f>
        <v>-7.9796378371500082E-2</v>
      </c>
      <c r="AH34">
        <v>-0.23813939660308089</v>
      </c>
      <c r="AI34">
        <v>-0.13148032403284327</v>
      </c>
      <c r="AJ34">
        <v>-0.78519171692608869</v>
      </c>
      <c r="AK34">
        <v>-0.42971715940186128</v>
      </c>
      <c r="AL34">
        <v>-0.53895976253559363</v>
      </c>
      <c r="AM34">
        <v>-0.96604102561158722</v>
      </c>
      <c r="AO34">
        <f t="array" ref="AO34:AR37">MMULT(AG34:AM37,AB34:AE40)</f>
        <v>2.1052606680343229</v>
      </c>
      <c r="AP34">
        <v>0.36592313068550947</v>
      </c>
      <c r="AQ34">
        <v>1.1203430141620279</v>
      </c>
      <c r="AR34">
        <v>-3.1693257634825551</v>
      </c>
      <c r="AT34">
        <f t="array" ref="AT34:AW37">MINVERSE(AO34:AR37)</f>
        <v>2.47594346742336</v>
      </c>
      <c r="AU34">
        <v>-0.11434058908260605</v>
      </c>
      <c r="AV34">
        <v>1.3795795080288076</v>
      </c>
      <c r="AW34">
        <v>1.803622985710795</v>
      </c>
      <c r="AY34">
        <f t="array" ref="AY34:AY37">MMULT(AG34:AM37,Y34:Y40)</f>
        <v>-0.14789660899197887</v>
      </c>
      <c r="BA34">
        <f t="array" ref="BA34:BA37">MMULT(AT34:AW37,AY34:AY37)</f>
        <v>8.5999382314007136</v>
      </c>
      <c r="BD34">
        <f>SQRT(($T34*1000+coord!$B$7*$R34*$U34*1000-coord!$B$2-BA$34)^2+($U34*1000-coord!$B$7*$R34*$T34*1000-coord!$C$2-BA$35)^2+($V34*1000-coord!$D$2-BA$36)^2)</f>
        <v>22893287.289775264</v>
      </c>
      <c r="BE34" s="3">
        <f>$D34-(BD34-$W34)-BA$37</f>
        <v>-5.1951332159329766</v>
      </c>
      <c r="BG34" s="1">
        <f>coord!$B$2+$BA34</f>
        <v>4388886.7707382319</v>
      </c>
      <c r="BH34" s="1">
        <f>coord!$C$2+$BA35</f>
        <v>924548.36563281005</v>
      </c>
      <c r="BI34" s="1">
        <f>coord!$D$2+$BA36</f>
        <v>4519601.940673762</v>
      </c>
      <c r="BJ34" s="1">
        <f>coord!$E$2+$BA37</f>
        <v>8.0678057141591424</v>
      </c>
      <c r="BK34" s="8">
        <f>lat($BG34,$BH34,$BI34)</f>
        <v>45.411232532881733</v>
      </c>
      <c r="BL34" s="8">
        <f>lon($BG34,$BH34,$BI34)</f>
        <v>11.89581079058042</v>
      </c>
      <c r="BM34" s="6">
        <f>h($BG34,$BH34,$BI34)</f>
        <v>74.599932852201164</v>
      </c>
      <c r="BO34">
        <f>grado($BK34)</f>
        <v>45</v>
      </c>
      <c r="BP34">
        <f>MINUTOprimo($BK34)</f>
        <v>24</v>
      </c>
      <c r="BQ34">
        <f>MINUTOsecondo($BK34)</f>
        <v>40.437118374240413</v>
      </c>
      <c r="BR34">
        <f>grado($BL34)</f>
        <v>11</v>
      </c>
      <c r="BS34">
        <f>MINUTOprimo($BL34)</f>
        <v>53</v>
      </c>
      <c r="BT34">
        <f>MINUTOsecondo($BL34)</f>
        <v>44.918846089511248</v>
      </c>
      <c r="BV34">
        <f>-SIN(RADIANS(BK34))*COS(RADIANS(BL34))</f>
        <v>-0.69686930053139584</v>
      </c>
      <c r="BW34">
        <f>-SIN(RADIANS(BL34))</f>
        <v>-0.20613264067433965</v>
      </c>
      <c r="BX34">
        <f>COS(RADIANS(BK34))*COS(RADIANS(BL34))</f>
        <v>0.68693705128309002</v>
      </c>
      <c r="BZ34" t="s">
        <v>93</v>
      </c>
      <c r="CA34">
        <f t="array" ref="CA34:CC36">MINVERSE(BV34:BX36)</f>
        <v>-0.69686930053139573</v>
      </c>
      <c r="CB34">
        <v>-0.14680018112145676</v>
      </c>
      <c r="CC34">
        <v>0.70201345058310005</v>
      </c>
      <c r="CD34">
        <v>0</v>
      </c>
      <c r="CE34" s="1">
        <f t="array" ref="CE34:CE36">MMULT(CA34:CC36,BA34:BA36)</f>
        <v>6.8081720824818195</v>
      </c>
      <c r="CG34" s="1">
        <f t="array" ref="CG34:CI34">TRANSPOSE(CE34:CE36)</f>
        <v>6.8081720824818195</v>
      </c>
      <c r="CH34" s="1">
        <v>-23.151098107788261</v>
      </c>
      <c r="CI34" s="1">
        <v>12.478796048250231</v>
      </c>
      <c r="CK34">
        <f t="array" ref="CK34:CN37">MMULT(CA34:CD37,AT34:AW37)</f>
        <v>-0.74014040232669576</v>
      </c>
      <c r="CL34">
        <v>0.18203469075076062</v>
      </c>
      <c r="CM34">
        <v>0.60837822705922628</v>
      </c>
      <c r="CN34">
        <v>-3.5690927712912268E-2</v>
      </c>
      <c r="CP34">
        <f t="array" ref="CP34:CS37">TRANSPOSE(CA34:CD37)</f>
        <v>-0.69686930053139573</v>
      </c>
      <c r="CQ34">
        <v>-0.20613264067433959</v>
      </c>
      <c r="CR34">
        <v>0.68693705128308991</v>
      </c>
      <c r="CS34">
        <v>0</v>
      </c>
      <c r="CU34" s="5">
        <f t="array" ref="CU34:CX37">MMULT(CK34:CN37,CP34:CS37)</f>
        <v>0.91614809732930635</v>
      </c>
      <c r="CV34" s="5">
        <v>0.33069242011145128</v>
      </c>
      <c r="CW34" s="5">
        <v>-4.8823129697905587E-2</v>
      </c>
      <c r="CX34" s="5">
        <v>-3.5690927712912268E-2</v>
      </c>
      <c r="CZ34" s="3">
        <f>SQRT(CU34+CV35)</f>
        <v>1.2361100453841014</v>
      </c>
      <c r="DA34" s="3">
        <f>CW36</f>
        <v>3.7165076119160405</v>
      </c>
      <c r="DB34" s="3">
        <f>CX37</f>
        <v>1.825630894268774</v>
      </c>
      <c r="DC34" s="3">
        <f>BG41</f>
        <v>4.152037261534173</v>
      </c>
      <c r="DD34">
        <v>6</v>
      </c>
      <c r="DE34" s="6">
        <f>DB34*DD34*DC34</f>
        <v>45.480524992871423</v>
      </c>
      <c r="DF34">
        <v>5.33</v>
      </c>
      <c r="DG34" s="6">
        <f>DC34*DF34*SQRT(0.5*(CU34+CV35)+SQRT((0.5*(CU34-CV35))^2+CV34^2))</f>
        <v>23.504119843771385</v>
      </c>
    </row>
    <row r="35" spans="1:111">
      <c r="A35">
        <v>8</v>
      </c>
      <c r="B35">
        <f t="shared" si="17"/>
        <v>0.31666666666666665</v>
      </c>
      <c r="C35">
        <v>23</v>
      </c>
      <c r="D35">
        <f>tetto!D35*coord!$B$13-tetto!G35*coord!$B$14</f>
        <v>20933467.594210397</v>
      </c>
      <c r="E35" s="5">
        <f>90-DEGREES(ACOS((coord!$B$2*($T35*1000-coord!$B$2)+coord!$C$2*($U35*1000-coord!$C$2)+coord!$D$2*($V35*1000-coord!$D$2))/(SQRT(coord!$B$2^2+coord!$C$2^2+coord!$D$2^2)*SQRT(($T35*1000-coord!$B$2)^2+($U35*1000-coord!$C$2)^2+($V35*1000-coord!$D$2)^2))))</f>
        <v>55.053405691088237</v>
      </c>
      <c r="F35">
        <f>(coord!$C$2*($V35*1000-coord!$D$2)-coord!$D$2*($U35*1000-coord!$C$2))/(SQRT(coord!$B$2^2+coord!$C$2^2+coord!$D$2^2)*SQRT(($T35*1000-coord!$B$2)^2+($U35*1000-coord!$C$2)^2+($V35*1000-coord!$D$2)^2))</f>
        <v>-0.25573005338875315</v>
      </c>
      <c r="G35">
        <f>(-coord!$B$2*($V35*1000-coord!$D$2)+coord!$D$2*($T35*1000-coord!$B$2))/(SQRT(coord!$B$2^2+coord!$C$2^2+coord!$D$2^2)*SQRT(($T35*1000-coord!$B$2)^2+($U35*1000-coord!$C$2)^2+($V35*1000-coord!$D$2)^2))</f>
        <v>-0.39322164725796488</v>
      </c>
      <c r="H35">
        <f>(coord!$B$2*($U35*1000-coord!$C$2)-coord!$C$2*($T35*1000-coord!$B$2))/(SQRT(coord!$B$2^2+coord!$C$2^2+coord!$D$2^2)*SQRT(($T35*1000-coord!$B$2)^2+($U35*1000-coord!$C$2)^2+($V35*1000-coord!$D$2)^2))</f>
        <v>0.32877531779279434</v>
      </c>
      <c r="I35">
        <f t="shared" si="5"/>
        <v>0.46674013467451436</v>
      </c>
      <c r="J35">
        <f t="shared" si="6"/>
        <v>-0.33206252274721787</v>
      </c>
      <c r="K35">
        <f t="shared" si="7"/>
        <v>1.5688655150888631E-3</v>
      </c>
      <c r="L35">
        <f t="shared" si="18"/>
        <v>54.570030312490488</v>
      </c>
      <c r="M35" s="5">
        <f>'sv23'!$AA$3+'sv23'!$Z$3*($B35)+'sv23'!$Y$3*($B35)^2+'sv23'!$X$3*($B35)^3+'sv23'!$W$3*($B35)^4+'sv23'!$V$3*($B35)^5+'sv23'!$U$3*($B35)^6+'sv23'!$T$3*($B35)^7+'sv23'!$S$3*($B35)^8</f>
        <v>9400.1910697060575</v>
      </c>
      <c r="N35" s="5">
        <f>'sv23'!$AA$4+'sv23'!$Z$4*($B35)+'sv23'!$Y$4*($B35)^2+'sv23'!$X$4*($B35)^3+'sv23'!$W$4*($B35)^4+'sv23'!$V$4*($B35)^5+'sv23'!$U$4*($B35)^6+'sv23'!$T$4*($B35)^7+'sv23'!$S$4*($B35)^8</f>
        <v>12018.436760376326</v>
      </c>
      <c r="O35" s="5">
        <f>'sv23'!$AA$5+'sv23'!$Z$5*($B35)+'sv23'!$Y$5*($B35)^2+'sv23'!$X$5*($B35)^3+'sv23'!$W$5*($B35)^4+'sv23'!$V$5*($B35)^5+'sv23'!$U$5*($B35)^6+'sv23'!$T$5*($B35)^7+'sv23'!$S$5*($B35)^8</f>
        <v>21685.884360008171</v>
      </c>
      <c r="P35" s="5">
        <f>'sv23'!$AA$6+'sv23'!$Z$6*$B35+'sv23'!$Y$6*$B35^2+'sv23'!$X$6*$B35^3+'sv23'!$W$6*$B35^4+'sv23'!$V$6*$B35^5+'sv23'!$U$6*$B35^6+'sv23'!$T$6*$B35^7+'sv23'!$S$6*$B35^8</f>
        <v>370.05730534996997</v>
      </c>
      <c r="R35">
        <f>SQRT(($M35*1000-coord!$B$2)^2+($N35*1000-coord!$C$2)^2+($O35*1000-coord!$D$2)^2)/coord!$B$6</f>
        <v>7.0196727443758461E-2</v>
      </c>
      <c r="T35" s="5">
        <f>'sv23'!$AA$3+'sv23'!$Z$3*($B35-$R35/3600)+'sv23'!$Y$3*($B35-$R35/3600)^2+'sv23'!$X$3*($B35-$R35/3600)^3+'sv23'!$W$3*($B35-$R35/3600)^4+'sv23'!$V$3*($B35-$R35/3600)^5+'sv23'!$U$3*($B35-$R35/3600)^6+'sv23'!$T$3*($B35-$R35/3600)^7+'sv23'!$S$3*($B35-$R35/3600)^8+N35*coord!$B$7*R35</f>
        <v>9400.3798667735955</v>
      </c>
      <c r="U35" s="5">
        <f>'sv23'!$AA$4+'sv23'!$Z$4*($B35-$R35/3600)+'sv23'!$Y$4*($B35-$R35/3600)^2+'sv23'!$X$4*($B35-$R35/3600)^3+'sv23'!$W$4*($B35-$R35/3600)^4+'sv23'!$V$4*($B35-$R35/3600)^5+'sv23'!$U$4*($B35-$R35/3600)^6+'sv23'!$T$4*($B35-$R35/3600)^7+'sv23'!$S$4*($B35-$R35/3600)^8-M35*coord!$B$7*R35</f>
        <v>12018.242427259553</v>
      </c>
      <c r="V35" s="5">
        <f>'sv23'!$AA$5+'sv23'!$Z$5*($B35-$R35/3600)+'sv23'!$Y$5*($B35-$R35/3600)^2+'sv23'!$X$5*($B35-$R35/3600)^3+'sv23'!$W$5*($B35-$R35/3600)^4+'sv23'!$V$5*($B35-$R35/3600)^5+'sv23'!$U$5*($B35-$R35/3600)^6+'sv23'!$T$5*($B35-$R35/3600)^7+'sv23'!$S$5*($B35-$R35/3600)^8</f>
        <v>21685.912365509688</v>
      </c>
      <c r="W35">
        <f>coord!$B$6*P35/10^6</f>
        <v>110940.38917172405</v>
      </c>
      <c r="X35">
        <f>SQRT(($T35*1000+coord!$B$7*$R35*$U35*1000-coord!$B$2)^2+($U35*1000-coord!$B$7*$R35*$T35*1000-coord!$C$2)^2+($V35*1000-coord!$D$2)^2)</f>
        <v>21044404.107257068</v>
      </c>
      <c r="Y35" s="3">
        <f>$D35-(X35-$W35)-coord!$E$2</f>
        <v>3.8761250525712967</v>
      </c>
      <c r="Z35" s="3"/>
      <c r="AB35">
        <f>-(T35*1000-coord!$B$2)/$X35</f>
        <v>-0.23813939660308089</v>
      </c>
      <c r="AC35">
        <f>-(U35*1000-coord!$C$2)/$X35</f>
        <v>-0.52715544510162449</v>
      </c>
      <c r="AD35">
        <f>-(V35*1000-coord!$D$2)/$X35</f>
        <v>-0.81571918138988586</v>
      </c>
      <c r="AE35">
        <v>1</v>
      </c>
      <c r="AG35">
        <v>0.68184887073844114</v>
      </c>
      <c r="AH35">
        <v>-0.52715544510162449</v>
      </c>
      <c r="AI35">
        <v>0.80140412452435483</v>
      </c>
      <c r="AJ35">
        <v>0.38953462006805917</v>
      </c>
      <c r="AK35">
        <v>-0.89692318340839927</v>
      </c>
      <c r="AL35">
        <v>-0.15472129213295319</v>
      </c>
      <c r="AM35">
        <v>-0.24555077158180802</v>
      </c>
      <c r="AO35">
        <v>0.36592313068550947</v>
      </c>
      <c r="AP35">
        <v>2.4255015934629629</v>
      </c>
      <c r="AQ35">
        <v>-0.51902311369994614</v>
      </c>
      <c r="AR35">
        <v>4.8436923106070201E-2</v>
      </c>
      <c r="AT35">
        <v>-0.11434058908260587</v>
      </c>
      <c r="AU35">
        <v>0.48092393091475977</v>
      </c>
      <c r="AV35">
        <v>0.24636844840321734</v>
      </c>
      <c r="AW35">
        <v>6.6664530979846454E-2</v>
      </c>
      <c r="AY35">
        <v>-56.546776889255284</v>
      </c>
      <c r="BA35">
        <v>-21.84756718993685</v>
      </c>
      <c r="BD35">
        <f>SQRT(($T35*1000+coord!$B$7*$R35*$U35*1000-coord!$B$2-BA$34)^2+($U35*1000-coord!$B$7*$R35*$T35*1000-coord!$C$2-BA$35)^2+($V35*1000-coord!$D$2-BA$36)^2)</f>
        <v>21044402.428356122</v>
      </c>
      <c r="BE35" s="3">
        <f t="shared" ref="BE35:BE40" si="19">$D35-(BD35-$W35)-BA$37</f>
        <v>-2.5127797156561726</v>
      </c>
      <c r="BG35" s="1"/>
      <c r="BH35" s="1"/>
      <c r="BI35" s="1"/>
      <c r="BV35">
        <f>-SIN(RADIANS(BK34))*SIN(RADIANS(BL34))</f>
        <v>-0.14680018112145676</v>
      </c>
      <c r="BW35">
        <f>COS(RADIANS(BL34))</f>
        <v>0.97852405920785801</v>
      </c>
      <c r="BX35">
        <f>COS(RADIANS(BK34))*SIN(RADIANS(BL34))</f>
        <v>0.14470788635759943</v>
      </c>
      <c r="BZ35" t="s">
        <v>94</v>
      </c>
      <c r="CA35">
        <v>-0.20613264067433959</v>
      </c>
      <c r="CB35">
        <v>0.97852405920785801</v>
      </c>
      <c r="CC35">
        <v>2.8364734984746121E-17</v>
      </c>
      <c r="CD35">
        <v>0</v>
      </c>
      <c r="CE35" s="1">
        <v>-23.151098107788261</v>
      </c>
      <c r="CG35" s="1"/>
      <c r="CH35" s="1"/>
      <c r="CI35" s="1"/>
      <c r="CK35">
        <v>-0.62225778246168706</v>
      </c>
      <c r="CL35">
        <v>0.49416496461276738</v>
      </c>
      <c r="CM35">
        <v>-4.3298912817926354E-2</v>
      </c>
      <c r="CN35">
        <v>-0.30655272136591544</v>
      </c>
      <c r="CP35">
        <v>-0.14680018112145676</v>
      </c>
      <c r="CQ35">
        <v>0.97852405920785801</v>
      </c>
      <c r="CR35">
        <v>0.14470788635759943</v>
      </c>
      <c r="CS35">
        <v>0</v>
      </c>
      <c r="CU35" s="5">
        <v>0.33069242011145139</v>
      </c>
      <c r="CV35" s="5">
        <v>0.61181994697017894</v>
      </c>
      <c r="CW35" s="5">
        <v>-0.38677827201941795</v>
      </c>
      <c r="CX35" s="5">
        <v>-0.30655272136591544</v>
      </c>
    </row>
    <row r="36" spans="1:111">
      <c r="A36">
        <v>8</v>
      </c>
      <c r="B36">
        <f t="shared" si="17"/>
        <v>0.31666666666666665</v>
      </c>
      <c r="C36">
        <v>10</v>
      </c>
      <c r="D36">
        <f>tetto!D36*coord!$B$13-tetto!G36*coord!$B$14</f>
        <v>23205724.421385564</v>
      </c>
      <c r="E36" s="5">
        <f>90-DEGREES(ACOS((coord!$B$2*($T36*1000-coord!$B$2)+coord!$C$2*($U36*1000-coord!$C$2)+coord!$D$2*($V36*1000-coord!$D$2))/(SQRT(coord!$B$2^2+coord!$C$2^2+coord!$D$2^2)*SQRT(($T36*1000-coord!$B$2)^2+($U36*1000-coord!$C$2)^2+($V36*1000-coord!$D$2)^2))))</f>
        <v>22.8563834136867</v>
      </c>
      <c r="F36">
        <f>(coord!$C$2*($V36*1000-coord!$D$2)-coord!$D$2*($U36*1000-coord!$C$2))/(SQRT(coord!$B$2^2+coord!$C$2^2+coord!$D$2^2)*SQRT(($T36*1000-coord!$B$2)^2+($U36*1000-coord!$C$2)^2+($V36*1000-coord!$D$2)^2))</f>
        <v>0.65356355880782269</v>
      </c>
      <c r="G36">
        <f>(-coord!$B$2*($V36*1000-coord!$D$2)+coord!$D$2*($T36*1000-coord!$B$2))/(SQRT(coord!$B$2^2+coord!$C$2^2+coord!$D$2^2)*SQRT(($T36*1000-coord!$B$2)^2+($U36*1000-coord!$C$2)^2+($V36*1000-coord!$D$2)^2))</f>
        <v>-0.30886066896085762</v>
      </c>
      <c r="H36">
        <f>(coord!$B$2*($U36*1000-coord!$C$2)-coord!$C$2*($T36*1000-coord!$B$2))/(SQRT(coord!$B$2^2+coord!$C$2^2+coord!$D$2^2)*SQRT(($T36*1000-coord!$B$2)^2+($U36*1000-coord!$C$2)^2+($V36*1000-coord!$D$2)^2))</f>
        <v>-0.57147848546708946</v>
      </c>
      <c r="I36">
        <f t="shared" si="5"/>
        <v>-0.8112931549247222</v>
      </c>
      <c r="J36">
        <f t="shared" si="6"/>
        <v>-0.43694839250643491</v>
      </c>
      <c r="K36">
        <f t="shared" si="7"/>
        <v>-2.7233513520097952E-3</v>
      </c>
      <c r="L36">
        <f t="shared" si="18"/>
        <v>-61.693866407522137</v>
      </c>
      <c r="M36" s="5">
        <f>'sv10'!$AA$3+'sv10'!$Z$3*($B36)+'sv10'!$Y$3*($B36)^2+'sv10'!$X$3*($B36)^3+'sv10'!$W$3*($B36)^4+'sv10'!$V$3*($B36)^5+'sv10'!$U$3*($B36)^6+'sv10'!$T$3*($B36)^7+'sv10'!$S$3*($B36)^8</f>
        <v>7438.4542444823328</v>
      </c>
      <c r="N36" s="5">
        <f>'sv10'!$AA$4+'sv10'!$Z$4*($B36)+'sv10'!$Y$4*($B36)^2+'sv10'!$X$4*($B36)^3+'sv10'!$W$4*($B36)^4+'sv10'!$V$4*($B36)^5+'sv10'!$U$4*($B36)^6+'sv10'!$T$4*($B36)^7+'sv10'!$S$4*($B36)^8</f>
        <v>-17662.065096759106</v>
      </c>
      <c r="O36" s="5">
        <f>'sv10'!$AA$5+'sv10'!$Z$5*($B36)+'sv10'!$Y$5*($B36)^2+'sv10'!$X$5*($B36)^3+'sv10'!$W$5*($B36)^4+'sv10'!$V$5*($B36)^5+'sv10'!$U$5*($B36)^6+'sv10'!$T$5*($B36)^7+'sv10'!$S$5*($B36)^8</f>
        <v>18052.556959911763</v>
      </c>
      <c r="P36" s="5">
        <f>'sv10'!$AA$6+'sv10'!$Z$6*$B36+'sv10'!$Y$6*$B36^2+'sv10'!$X$6*$B36^3+'sv10'!$W$6*$B36^4+'sv10'!$V$6*$B36^5+'sv10'!$U$6*$B36^6+'sv10'!$T$6*$B36^7+'sv10'!$S$6*$B36^8</f>
        <v>-43.000798571125515</v>
      </c>
      <c r="R36">
        <f>SQRT(($M36*1000-coord!$B$2)^2+($N36*1000-coord!$C$2)^2+($O36*1000-coord!$D$2)^2)/coord!$B$6</f>
        <v>7.7362723741914594E-2</v>
      </c>
      <c r="T36" s="5">
        <f>'sv10'!$AA$3+'sv10'!$Z$3*($B36-$R36/3600)+'sv10'!$Y$3*($B36-$R36/3600)^2+'sv10'!$X$3*($B36-$R36/3600)^3+'sv10'!$W$3*($B36-$R36/3600)^4+'sv10'!$V$3*($B36-$R36/3600)^5+'sv10'!$U$3*($B36-$R36/3600)^6+'sv10'!$T$3*($B36-$R36/3600)^7+'sv10'!$S$3*($B36-$R36/3600)^8+N36*coord!$B$7*R36</f>
        <v>7438.2813152667122</v>
      </c>
      <c r="U36" s="5">
        <f>'sv10'!$AA$4+'sv10'!$Z$4*($B36-$R36/3600)+'sv10'!$Y$4*($B36-$R36/3600)^2+'sv10'!$X$4*($B36-$R36/3600)^3+'sv10'!$W$4*($B36-$R36/3600)^4+'sv10'!$V$4*($B36-$R36/3600)^5+'sv10'!$U$4*($B36-$R36/3600)^6+'sv10'!$T$4*($B36-$R36/3600)^7+'sv10'!$S$4*($B36-$R36/3600)^8-M36*coord!$B$7*R36</f>
        <v>-17662.27367610094</v>
      </c>
      <c r="V36" s="5">
        <f>'sv10'!$AA$5+'sv10'!$Z$5*($B36-$R36/3600)+'sv10'!$Y$5*($B36-$R36/3600)^2+'sv10'!$X$5*($B36-$R36/3600)^3+'sv10'!$W$5*($B36-$R36/3600)^4+'sv10'!$V$5*($B36-$R36/3600)^5+'sv10'!$U$5*($B36-$R36/3600)^6+'sv10'!$T$5*($B36-$R36/3600)^7+'sv10'!$S$5*($B36-$R36/3600)^8</f>
        <v>18052.42285255521</v>
      </c>
      <c r="W36">
        <f>coord!$B$6*P36/10^6</f>
        <v>-12891.315099600604</v>
      </c>
      <c r="X36">
        <f>SQRT(($T36*1000+coord!$B$7*$R36*$U36*1000-coord!$B$2)^2+($U36*1000-coord!$B$7*$R36*$T36*1000-coord!$C$2)^2+($V36*1000-coord!$D$2)^2)</f>
        <v>23192847.803637777</v>
      </c>
      <c r="Y36" s="3">
        <f>$D36-(X36-$W36)-coord!$E$2</f>
        <v>-14.697351813316345</v>
      </c>
      <c r="Z36" s="3"/>
      <c r="AB36">
        <f>-(T36*1000-coord!$B$2)/$X36</f>
        <v>-0.13148032403284327</v>
      </c>
      <c r="AC36">
        <f>-(U36*1000-coord!$C$2)/$X36</f>
        <v>0.80140412452435483</v>
      </c>
      <c r="AD36">
        <f>-(V36*1000-coord!$D$2)/$X36</f>
        <v>-0.58349171662018151</v>
      </c>
      <c r="AE36">
        <v>1</v>
      </c>
      <c r="AG36">
        <v>-0.72712664905146607</v>
      </c>
      <c r="AH36">
        <v>-0.81571918138988586</v>
      </c>
      <c r="AI36">
        <v>-0.58349171662018151</v>
      </c>
      <c r="AJ36">
        <v>-0.48138920070301089</v>
      </c>
      <c r="AK36">
        <v>-0.1042769757927535</v>
      </c>
      <c r="AL36">
        <v>-0.82799986959106009</v>
      </c>
      <c r="AM36">
        <v>8.0434104295511566E-2</v>
      </c>
      <c r="AO36">
        <v>1.1203430141620279</v>
      </c>
      <c r="AP36">
        <v>-0.51902311369994614</v>
      </c>
      <c r="AQ36">
        <v>2.4692362094231655</v>
      </c>
      <c r="AR36">
        <v>-3.4595694888528459</v>
      </c>
      <c r="AT36">
        <v>1.379579508028808</v>
      </c>
      <c r="AU36">
        <v>0.24636844840321709</v>
      </c>
      <c r="AV36">
        <v>2.2876082578774075</v>
      </c>
      <c r="AW36">
        <v>1.7535061827682445</v>
      </c>
      <c r="AY36">
        <v>26.808643524271019</v>
      </c>
      <c r="BA36">
        <v>13.666373762349501</v>
      </c>
      <c r="BD36">
        <f>SQRT(($T36*1000+coord!$B$7*$R36*$U36*1000-coord!$B$2-BA$34)^2+($U36*1000-coord!$B$7*$R36*$T36*1000-coord!$C$2-BA$35)^2+($V36*1000-coord!$D$2-BA$36)^2)</f>
        <v>23192821.189966828</v>
      </c>
      <c r="BE36" s="3">
        <f t="shared" si="19"/>
        <v>3.8485134214173442</v>
      </c>
      <c r="BG36" s="1"/>
      <c r="BH36" s="1"/>
      <c r="BI36" s="1"/>
      <c r="BV36">
        <f>COS(RADIANS(BK34))</f>
        <v>0.70201345058309994</v>
      </c>
      <c r="BW36">
        <v>0</v>
      </c>
      <c r="BX36">
        <f>SIN(RADIANS(BK34))</f>
        <v>0.71216368567935939</v>
      </c>
      <c r="BZ36" t="s">
        <v>95</v>
      </c>
      <c r="CA36">
        <v>0.68693705128308991</v>
      </c>
      <c r="CB36">
        <v>0.14470788635759943</v>
      </c>
      <c r="CC36">
        <v>0.71216368567935939</v>
      </c>
      <c r="CD36">
        <v>0</v>
      </c>
      <c r="CE36" s="1">
        <v>12.478796048250231</v>
      </c>
      <c r="CG36" s="1"/>
      <c r="CH36" s="1"/>
      <c r="CI36" s="1"/>
      <c r="CK36">
        <v>2.6667577468099184</v>
      </c>
      <c r="CL36">
        <v>0.16650336068502636</v>
      </c>
      <c r="CM36">
        <v>2.6124872650100288</v>
      </c>
      <c r="CN36">
        <v>2.4974057647854675</v>
      </c>
      <c r="CP36">
        <v>0.70201345058310005</v>
      </c>
      <c r="CQ36">
        <v>2.8364734984746121E-17</v>
      </c>
      <c r="CR36">
        <v>0.71216368567935939</v>
      </c>
      <c r="CS36">
        <v>0</v>
      </c>
      <c r="CU36" s="5">
        <v>-4.8823129697905587E-2</v>
      </c>
      <c r="CV36" s="5">
        <v>-0.38677827201941833</v>
      </c>
      <c r="CW36" s="5">
        <v>3.7165076119160405</v>
      </c>
      <c r="CX36" s="5">
        <v>2.4974057647854675</v>
      </c>
    </row>
    <row r="37" spans="1:111">
      <c r="A37">
        <v>8</v>
      </c>
      <c r="B37">
        <f t="shared" si="17"/>
        <v>0.31666666666666665</v>
      </c>
      <c r="C37">
        <v>4</v>
      </c>
      <c r="D37">
        <f>tetto!D37*coord!$B$13-tetto!G37*coord!$B$14</f>
        <v>21078799.499005154</v>
      </c>
      <c r="E37" s="5">
        <f>90-DEGREES(ACOS((coord!$B$2*($T37*1000-coord!$B$2)+coord!$C$2*($U37*1000-coord!$C$2)+coord!$D$2*($V37*1000-coord!$D$2))/(SQRT(coord!$B$2^2+coord!$C$2^2+coord!$D$2^2)*SQRT(($T37*1000-coord!$B$2)^2+($U37*1000-coord!$C$2)^2+($V37*1000-coord!$D$2)^2))))</f>
        <v>55.724693943570195</v>
      </c>
      <c r="F37">
        <f>(coord!$C$2*($V37*1000-coord!$D$2)-coord!$D$2*($U37*1000-coord!$C$2))/(SQRT(coord!$B$2^2+coord!$C$2^2+coord!$D$2^2)*SQRT(($T37*1000-coord!$B$2)^2+($U37*1000-coord!$C$2)^2+($V37*1000-coord!$D$2)^2))</f>
        <v>0.34639195702789505</v>
      </c>
      <c r="G37">
        <f>(-coord!$B$2*($V37*1000-coord!$D$2)+coord!$D$2*($T37*1000-coord!$B$2))/(SQRT(coord!$B$2^2+coord!$C$2^2+coord!$D$2^2)*SQRT(($T37*1000-coord!$B$2)^2+($U37*1000-coord!$C$2)^2+($V37*1000-coord!$D$2)^2))</f>
        <v>0.22552155963026749</v>
      </c>
      <c r="H37">
        <f>(coord!$B$2*($U37*1000-coord!$C$2)-coord!$C$2*($T37*1000-coord!$B$2))/(SQRT(coord!$B$2^2+coord!$C$2^2+coord!$D$2^2)*SQRT(($T37*1000-coord!$B$2)^2+($U37*1000-coord!$C$2)^2+($V37*1000-coord!$D$2)^2))</f>
        <v>-0.38250887255360222</v>
      </c>
      <c r="I37">
        <f t="shared" si="5"/>
        <v>-0.54302290379982276</v>
      </c>
      <c r="J37">
        <f t="shared" si="6"/>
        <v>0.14927557327875104</v>
      </c>
      <c r="K37">
        <f t="shared" si="7"/>
        <v>-1.8244190911138047E-3</v>
      </c>
      <c r="L37">
        <f t="shared" si="18"/>
        <v>254.62921522335</v>
      </c>
      <c r="M37" s="5">
        <f>'sv04'!$AA$3+'sv04'!$Z$3*($B37)+'sv04'!$Y$3*($B37)^2+'sv04'!$X$3*($B37)^3+'sv04'!$W$3*($B37)^4+'sv04'!$V$3*($B37)^5+'sv04'!$U$3*($B37)^6+'sv04'!$T$3*($B37)^7+'sv04'!$S$3*($B37)^8</f>
        <v>20960.334561337932</v>
      </c>
      <c r="N37" s="5">
        <f>'sv04'!$AA$4+'sv04'!$Z$4*($B37)+'sv04'!$Y$4*($B37)^2+'sv04'!$X$4*($B37)^3+'sv04'!$W$4*($B37)^4+'sv04'!$V$4*($B37)^5+'sv04'!$U$4*($B37)^6+'sv04'!$T$4*($B37)^7+'sv04'!$S$4*($B37)^8</f>
        <v>-7296.322078997161</v>
      </c>
      <c r="O37" s="5">
        <f>'sv04'!$AA$5+'sv04'!$Z$5*($B37)+'sv04'!$Y$5*($B37)^2+'sv04'!$X$5*($B37)^3+'sv04'!$W$5*($B37)^4+'sv04'!$V$5*($B37)^5+'sv04'!$U$5*($B37)^6+'sv04'!$T$5*($B37)^7+'sv04'!$S$5*($B37)^8</f>
        <v>14679.037842515969</v>
      </c>
      <c r="P37" s="5">
        <f>'sv04'!$AA$6+'sv04'!$Z$6*$B37+'sv04'!$Y$6*$B37^2+'sv04'!$X$6*$B37^3+'sv04'!$W$6*$B37^4+'sv04'!$V$6*$B37^5+'sv04'!$U$6*$B37^6+'sv04'!$T$6*$B37^7+'sv04'!$S$6*$B37^8</f>
        <v>86.596847413975738</v>
      </c>
      <c r="R37">
        <f>SQRT(($M37*1000-coord!$B$2)^2+($N37*1000-coord!$C$2)^2+($O37*1000-coord!$D$2)^2)/coord!$B$6</f>
        <v>7.0397882602031878E-2</v>
      </c>
      <c r="T37" s="5">
        <f>'sv04'!$AA$3+'sv04'!$Z$3*($B37-$R37/3600)+'sv04'!$Y$3*($B37-$R37/3600)^2+'sv04'!$X$3*($B37-$R37/3600)^3+'sv04'!$W$3*($B37-$R37/3600)^4+'sv04'!$V$3*($B37-$R37/3600)^5+'sv04'!$U$3*($B37-$R37/3600)^6+'sv04'!$T$3*($B37-$R37/3600)^7+'sv04'!$S$3*($B37-$R37/3600)^8+N37*coord!$B$7*R37</f>
        <v>20960.169133172916</v>
      </c>
      <c r="U37" s="5">
        <f>'sv04'!$AA$4+'sv04'!$Z$4*($B37-$R37/3600)+'sv04'!$Y$4*($B37-$R37/3600)^2+'sv04'!$X$4*($B37-$R37/3600)^3+'sv04'!$W$4*($B37-$R37/3600)^4+'sv04'!$V$4*($B37-$R37/3600)^5+'sv04'!$U$4*($B37-$R37/3600)^6+'sv04'!$T$4*($B37-$R37/3600)^7+'sv04'!$S$4*($B37-$R37/3600)^8-M37*coord!$B$7*R37</f>
        <v>-7296.4685342997063</v>
      </c>
      <c r="V37" s="5">
        <f>'sv04'!$AA$5+'sv04'!$Z$5*($B37-$R37/3600)+'sv04'!$Y$5*($B37-$R37/3600)^2+'sv04'!$X$5*($B37-$R37/3600)^3+'sv04'!$W$5*($B37-$R37/3600)^4+'sv04'!$V$5*($B37-$R37/3600)^5+'sv04'!$U$5*($B37-$R37/3600)^6+'sv04'!$T$5*($B37-$R37/3600)^7+'sv04'!$S$5*($B37-$R37/3600)^8</f>
        <v>14679.196862917644</v>
      </c>
      <c r="W37">
        <f>coord!$B$6*P37/10^6</f>
        <v>25961.081741286733</v>
      </c>
      <c r="X37">
        <f>SQRT(($T37*1000+coord!$B$7*$R37*$U37*1000-coord!$B$2)^2+($U37*1000-coord!$B$7*$R37*$T37*1000-coord!$C$2)^2+($V37*1000-coord!$D$2)^2)</f>
        <v>21104770.472168386</v>
      </c>
      <c r="Y37" s="3">
        <f>$D37-(X37-$W37)-coord!$E$2</f>
        <v>-9.8914219439029694</v>
      </c>
      <c r="Z37" s="3"/>
      <c r="AB37">
        <f>-(T37*1000-coord!$B$2)/$X37</f>
        <v>-0.78519171692608869</v>
      </c>
      <c r="AC37">
        <f>-(U37*1000-coord!$C$2)/$X37</f>
        <v>0.38953462006805917</v>
      </c>
      <c r="AD37">
        <f>-(V37*1000-coord!$D$2)/$X37</f>
        <v>-0.48138920070301089</v>
      </c>
      <c r="AE37">
        <v>1</v>
      </c>
      <c r="AG37">
        <v>1</v>
      </c>
      <c r="AH37">
        <v>1</v>
      </c>
      <c r="AI37">
        <v>1</v>
      </c>
      <c r="AJ37">
        <v>1</v>
      </c>
      <c r="AK37">
        <v>1</v>
      </c>
      <c r="AL37">
        <v>1</v>
      </c>
      <c r="AM37">
        <v>1</v>
      </c>
      <c r="AO37">
        <v>-3.1693257634825551</v>
      </c>
      <c r="AP37">
        <v>4.8436923106070201E-2</v>
      </c>
      <c r="AQ37">
        <v>-3.4595694888528459</v>
      </c>
      <c r="AR37">
        <v>7</v>
      </c>
      <c r="AT37">
        <v>1.8036229857107953</v>
      </c>
      <c r="AU37">
        <v>6.6664530979846245E-2</v>
      </c>
      <c r="AV37">
        <v>1.7535061827682445</v>
      </c>
      <c r="AW37">
        <v>1.825630894268774</v>
      </c>
      <c r="AY37">
        <v>-19.11936442553997</v>
      </c>
      <c r="BA37">
        <v>8.0678057141591424</v>
      </c>
      <c r="BD37">
        <f>SQRT(($T37*1000+coord!$B$7*$R37*$U37*1000-coord!$B$2-BA$34)^2+($U37*1000-coord!$B$7*$R37*$T37*1000-coord!$C$2-BA$35)^2+($V37*1000-coord!$D$2-BA$36)^2)</f>
        <v>21104748.630249657</v>
      </c>
      <c r="BE37" s="3">
        <f t="shared" si="19"/>
        <v>3.8826910711835509</v>
      </c>
      <c r="BG37" s="1"/>
      <c r="BH37" s="1"/>
      <c r="BI37" s="1"/>
      <c r="CA37">
        <v>0</v>
      </c>
      <c r="CB37">
        <v>0</v>
      </c>
      <c r="CC37">
        <v>0</v>
      </c>
      <c r="CD37">
        <v>1</v>
      </c>
      <c r="CG37" s="1"/>
      <c r="CH37" s="1"/>
      <c r="CI37" s="1"/>
      <c r="CK37">
        <v>1.8036229857107953</v>
      </c>
      <c r="CL37">
        <v>6.6664530979846245E-2</v>
      </c>
      <c r="CM37">
        <v>1.7535061827682445</v>
      </c>
      <c r="CN37">
        <v>1.825630894268774</v>
      </c>
      <c r="CP37">
        <v>0</v>
      </c>
      <c r="CQ37">
        <v>0</v>
      </c>
      <c r="CR37">
        <v>0</v>
      </c>
      <c r="CS37">
        <v>1</v>
      </c>
      <c r="CU37" s="5">
        <v>-3.569092771291249E-2</v>
      </c>
      <c r="CV37" s="5">
        <v>-0.30655272136591566</v>
      </c>
      <c r="CW37" s="5">
        <v>2.4974057647854679</v>
      </c>
      <c r="CX37" s="5">
        <v>1.825630894268774</v>
      </c>
    </row>
    <row r="38" spans="1:111">
      <c r="A38">
        <v>8</v>
      </c>
      <c r="B38">
        <f t="shared" si="17"/>
        <v>0.31666666666666665</v>
      </c>
      <c r="C38">
        <v>20</v>
      </c>
      <c r="D38">
        <f>tetto!D38*coord!$B$13-tetto!G38*coord!$B$14</f>
        <v>22768467.851894371</v>
      </c>
      <c r="E38" s="5">
        <f>90-DEGREES(ACOS((coord!$B$2*($T38*1000-coord!$B$2)+coord!$C$2*($U38*1000-coord!$C$2)+coord!$D$2*($V38*1000-coord!$D$2))/(SQRT(coord!$B$2^2+coord!$C$2^2+coord!$D$2^2)*SQRT(($T38*1000-coord!$B$2)^2+($U38*1000-coord!$C$2)^2+($V38*1000-coord!$D$2)^2))))</f>
        <v>30.029428503815403</v>
      </c>
      <c r="F38">
        <f>(coord!$C$2*($V38*1000-coord!$D$2)-coord!$D$2*($U38*1000-coord!$C$2))/(SQRT(coord!$B$2^2+coord!$C$2^2+coord!$D$2^2)*SQRT(($T38*1000-coord!$B$2)^2+($U38*1000-coord!$C$2)^2+($V38*1000-coord!$D$2)^2))</f>
        <v>-0.6214954029179327</v>
      </c>
      <c r="G38">
        <f>(-coord!$B$2*($V38*1000-coord!$D$2)+coord!$D$2*($T38*1000-coord!$B$2))/(SQRT(coord!$B$2^2+coord!$C$2^2+coord!$D$2^2)*SQRT(($T38*1000-coord!$B$2)^2+($U38*1000-coord!$C$2)^2+($V38*1000-coord!$D$2)^2))</f>
        <v>0.23313830349730696</v>
      </c>
      <c r="H38">
        <f>(coord!$B$2*($U38*1000-coord!$C$2)-coord!$C$2*($T38*1000-coord!$B$2))/(SQRT(coord!$B$2^2+coord!$C$2^2+coord!$D$2^2)*SQRT(($T38*1000-coord!$B$2)^2+($U38*1000-coord!$C$2)^2+($V38*1000-coord!$D$2)^2))</f>
        <v>0.5558282577274265</v>
      </c>
      <c r="I38">
        <f t="shared" si="5"/>
        <v>0.78907522958105558</v>
      </c>
      <c r="J38">
        <f t="shared" si="6"/>
        <v>0.35624194202087212</v>
      </c>
      <c r="K38">
        <f t="shared" si="7"/>
        <v>2.649018843760953E-3</v>
      </c>
      <c r="L38">
        <f t="shared" si="18"/>
        <v>114.2976364844432</v>
      </c>
      <c r="M38" s="5">
        <f>'sv20'!$AA$3+'sv20'!$Z$3*($B38)+'sv20'!$Y$3*($B38)^2+'sv20'!$X$3*($B38)^3+'sv20'!$W$3*($B38)^4+'sv20'!$V$3*($B38)^5+'sv20'!$U$3*($B38)^6+'sv20'!$T$3*($B38)^7+'sv20'!$S$3*($B38)^8</f>
        <v>14179.942730358056</v>
      </c>
      <c r="N38" s="5">
        <f>'sv20'!$AA$4+'sv20'!$Z$4*($B38)+'sv20'!$Y$4*($B38)^2+'sv20'!$X$4*($B38)^3+'sv20'!$W$4*($B38)^4+'sv20'!$V$4*($B38)^5+'sv20'!$U$4*($B38)^6+'sv20'!$T$4*($B38)^7+'sv20'!$S$4*($B38)^8</f>
        <v>21361.273399515252</v>
      </c>
      <c r="O38" s="5">
        <f>'sv20'!$AA$5+'sv20'!$Z$5*($B38)+'sv20'!$Y$5*($B38)^2+'sv20'!$X$5*($B38)^3+'sv20'!$W$5*($B38)^4+'sv20'!$V$5*($B38)^5+'sv20'!$U$5*($B38)^6+'sv20'!$T$5*($B38)^7+'sv20'!$S$5*($B38)^8</f>
        <v>6895.3329904928378</v>
      </c>
      <c r="P38" s="5">
        <f>'sv20'!$AA$6+'sv20'!$Z$6*$B38+'sv20'!$Y$6*$B38^2+'sv20'!$X$6*$B38^3+'sv20'!$W$6*$B38^4+'sv20'!$V$6*$B38^5+'sv20'!$U$6*$B38^6+'sv20'!$T$6*$B38^7+'sv20'!$S$6*$B38^8</f>
        <v>55.818086074070415</v>
      </c>
      <c r="R38">
        <f>SQRT(($M38*1000-coord!$B$2)^2+($N38*1000-coord!$C$2)^2+($O38*1000-coord!$D$2)^2)/coord!$B$6</f>
        <v>7.6003436990035478E-2</v>
      </c>
      <c r="T38" s="5">
        <f>'sv20'!$AA$3+'sv20'!$Z$3*($B38-$R38/3600)+'sv20'!$Y$3*($B38-$R38/3600)^2+'sv20'!$X$3*($B38-$R38/3600)^3+'sv20'!$W$3*($B38-$R38/3600)^4+'sv20'!$V$3*($B38-$R38/3600)^5+'sv20'!$U$3*($B38-$R38/3600)^6+'sv20'!$T$3*($B38-$R38/3600)^7+'sv20'!$S$3*($B38-$R38/3600)^8+N38*coord!$B$7*R38</f>
        <v>14180.058992204582</v>
      </c>
      <c r="U38" s="5">
        <f>'sv20'!$AA$4+'sv20'!$Z$4*($B38-$R38/3600)+'sv20'!$Y$4*($B38-$R38/3600)^2+'sv20'!$X$4*($B38-$R38/3600)^3+'sv20'!$W$4*($B38-$R38/3600)^4+'sv20'!$V$4*($B38-$R38/3600)^5+'sv20'!$U$4*($B38-$R38/3600)^6+'sv20'!$T$4*($B38-$R38/3600)^7+'sv20'!$S$4*($B38-$R38/3600)^8-M38*coord!$B$7*R38</f>
        <v>21361.122209134621</v>
      </c>
      <c r="V38" s="5">
        <f>'sv20'!$AA$5+'sv20'!$Z$5*($B38-$R38/3600)+'sv20'!$Y$5*($B38-$R38/3600)^2+'sv20'!$X$5*($B38-$R38/3600)^3+'sv20'!$W$5*($B38-$R38/3600)^4+'sv20'!$V$5*($B38-$R38/3600)^5+'sv20'!$U$5*($B38-$R38/3600)^6+'sv20'!$T$5*($B38-$R38/3600)^7+'sv20'!$S$5*($B38-$R38/3600)^8</f>
        <v>6895.5574511353789</v>
      </c>
      <c r="W38">
        <f>coord!$B$6*P38/10^6</f>
        <v>16733.841225001139</v>
      </c>
      <c r="X38">
        <f>SQRT(($T38*1000+coord!$B$7*$R38*$U38*1000-coord!$B$2)^2+($U38*1000-coord!$B$7*$R38*$T38*1000-coord!$C$2)^2+($V38*1000-coord!$D$2)^2)</f>
        <v>22785175.33494189</v>
      </c>
      <c r="Y38" s="3">
        <f>$D38-(X38-$W38)-coord!$E$2</f>
        <v>26.358177483081818</v>
      </c>
      <c r="Z38" s="3"/>
      <c r="AB38">
        <f>-(T38*1000-coord!$B$2)/$X38</f>
        <v>-0.42971715940186128</v>
      </c>
      <c r="AC38">
        <f>-(U38*1000-coord!$C$2)/$X38</f>
        <v>-0.89692318340839927</v>
      </c>
      <c r="AD38">
        <f>-(V38*1000-coord!$D$2)/$X38</f>
        <v>-0.1042769757927535</v>
      </c>
      <c r="AE38">
        <v>1</v>
      </c>
      <c r="BD38">
        <f>SQRT(($T38*1000+coord!$B$7*$R38*$U38*1000-coord!$B$2-BA$34)^2+($U38*1000-coord!$B$7*$R38*$T38*1000-coord!$C$2-BA$35)^2+($V38*1000-coord!$D$2-BA$36)^2)</f>
        <v>22785189.809793808</v>
      </c>
      <c r="BE38" s="3">
        <f t="shared" si="19"/>
        <v>3.8155198514472133</v>
      </c>
      <c r="BG38" s="1"/>
      <c r="BH38" s="1"/>
      <c r="BI38" s="1"/>
      <c r="CG38" s="1"/>
      <c r="CH38" s="1"/>
      <c r="CI38" s="1"/>
    </row>
    <row r="39" spans="1:111">
      <c r="A39">
        <v>8</v>
      </c>
      <c r="B39">
        <f t="shared" si="17"/>
        <v>0.31666666666666665</v>
      </c>
      <c r="C39">
        <v>13</v>
      </c>
      <c r="D39">
        <f>tetto!D39*coord!$B$13-tetto!G39*coord!$B$14</f>
        <v>20082942.22771791</v>
      </c>
      <c r="E39" s="5">
        <f>90-DEGREES(ACOS((coord!$B$2*($T39*1000-coord!$B$2)+coord!$C$2*($U39*1000-coord!$C$2)+coord!$D$2*($V39*1000-coord!$D$2))/(SQRT(coord!$B$2^2+coord!$C$2^2+coord!$D$2^2)*SQRT(($T39*1000-coord!$B$2)^2+($U39*1000-coord!$C$2)^2+($V39*1000-coord!$D$2)^2))))</f>
        <v>79.013519175847264</v>
      </c>
      <c r="F39">
        <f>(coord!$C$2*($V39*1000-coord!$D$2)-coord!$D$2*($U39*1000-coord!$C$2))/(SQRT(coord!$B$2^2+coord!$C$2^2+coord!$D$2^2)*SQRT(($T39*1000-coord!$B$2)^2+($U39*1000-coord!$C$2)^2+($V39*1000-coord!$D$2)^2))</f>
        <v>1.040730817312077E-2</v>
      </c>
      <c r="G39">
        <f>(-coord!$B$2*($V39*1000-coord!$D$2)+coord!$D$2*($T39*1000-coord!$B$2))/(SQRT(coord!$B$2^2+coord!$C$2^2+coord!$D$2^2)*SQRT(($T39*1000-coord!$B$2)^2+($U39*1000-coord!$C$2)^2+($V39*1000-coord!$D$2)^2))</f>
        <v>-0.18816386843812624</v>
      </c>
      <c r="H39">
        <f>(coord!$B$2*($U39*1000-coord!$C$2)-coord!$C$2*($T39*1000-coord!$B$2))/(SQRT(coord!$B$2^2+coord!$C$2^2+coord!$D$2^2)*SQRT(($T39*1000-coord!$B$2)^2+($U39*1000-coord!$C$2)^2+($V39*1000-coord!$D$2)^2))</f>
        <v>2.8386280456143394E-2</v>
      </c>
      <c r="I39">
        <f t="shared" si="5"/>
        <v>4.0297510564808042E-2</v>
      </c>
      <c r="J39">
        <f t="shared" si="6"/>
        <v>-0.18626815752325809</v>
      </c>
      <c r="K39">
        <f t="shared" si="7"/>
        <v>1.3602321681627921E-4</v>
      </c>
      <c r="L39">
        <f t="shared" si="18"/>
        <v>12.207319715796245</v>
      </c>
      <c r="M39" s="5">
        <f>'sv13'!$AA$3+'sv13'!$Z$3*($B39)+'sv13'!$Y$3*($B39)^2+'sv13'!$X$3*($B39)^3+'sv13'!$W$3*($B39)^4+'sv13'!$V$3*($B39)^5+'sv13'!$U$3*($B39)^6+'sv13'!$T$3*($B39)^7+'sv13'!$S$3*($B39)^8</f>
        <v>15261.789005158651</v>
      </c>
      <c r="N39" s="5">
        <f>'sv13'!$AA$4+'sv13'!$Z$4*($B39)+'sv13'!$Y$4*($B39)^2+'sv13'!$X$4*($B39)^3+'sv13'!$W$4*($B39)^4+'sv13'!$V$4*($B39)^5+'sv13'!$U$4*($B39)^6+'sv13'!$T$4*($B39)^7+'sv13'!$S$4*($B39)^8</f>
        <v>4046.1503990401975</v>
      </c>
      <c r="O39" s="5">
        <f>'sv13'!$AA$5+'sv13'!$Z$5*($B39)+'sv13'!$Y$5*($B39)^2+'sv13'!$X$5*($B39)^3+'sv13'!$W$5*($B39)^4+'sv13'!$V$5*($B39)^5+'sv13'!$U$5*($B39)^6+'sv13'!$T$5*($B39)^7+'sv13'!$S$5*($B39)^8</f>
        <v>21223.842961275346</v>
      </c>
      <c r="P39" s="5">
        <f>'sv13'!$AA$6+'sv13'!$Z$6*$B39+'sv13'!$Y$6*$B39^2+'sv13'!$X$6*$B39^3+'sv13'!$W$6*$B39^4+'sv13'!$V$6*$B39^5+'sv13'!$U$6*$B39^6+'sv13'!$T$6*$B39^7+'sv13'!$S$6*$B39^8</f>
        <v>304.21959884768302</v>
      </c>
      <c r="R39">
        <f>SQRT(($M39*1000-coord!$B$2)^2+($N39*1000-coord!$C$2)^2+($O39*1000-coord!$D$2)^2)/coord!$B$6</f>
        <v>6.7293741520789041E-2</v>
      </c>
      <c r="T39" s="5">
        <f>'sv13'!$AA$3+'sv13'!$Z$3*($B39-$R39/3600)+'sv13'!$Y$3*($B39-$R39/3600)^2+'sv13'!$X$3*($B39-$R39/3600)^3+'sv13'!$W$3*($B39-$R39/3600)^4+'sv13'!$V$3*($B39-$R39/3600)^5+'sv13'!$U$3*($B39-$R39/3600)^6+'sv13'!$T$3*($B39-$R39/3600)^7+'sv13'!$S$3*($B39-$R39/3600)^8+N39*coord!$B$7*R39</f>
        <v>15261.932382551706</v>
      </c>
      <c r="U39" s="5">
        <f>'sv13'!$AA$4+'sv13'!$Z$4*($B39-$R39/3600)+'sv13'!$Y$4*($B39-$R39/3600)^2+'sv13'!$X$4*($B39-$R39/3600)^3+'sv13'!$W$4*($B39-$R39/3600)^4+'sv13'!$V$4*($B39-$R39/3600)^5+'sv13'!$U$4*($B39-$R39/3600)^6+'sv13'!$T$4*($B39-$R39/3600)^7+'sv13'!$S$4*($B39-$R39/3600)^8-M39*coord!$B$7*R39</f>
        <v>4045.9405157980013</v>
      </c>
      <c r="V39" s="5">
        <f>'sv13'!$AA$5+'sv13'!$Z$5*($B39-$R39/3600)+'sv13'!$Y$5*($B39-$R39/3600)^2+'sv13'!$X$5*($B39-$R39/3600)^3+'sv13'!$W$5*($B39-$R39/3600)^4+'sv13'!$V$5*($B39-$R39/3600)^5+'sv13'!$U$5*($B39-$R39/3600)^6+'sv13'!$T$5*($B39-$R39/3600)^7+'sv13'!$S$5*($B39-$R39/3600)^8</f>
        <v>21223.780489006149</v>
      </c>
      <c r="W39">
        <f>coord!$B$6*P39/10^6</f>
        <v>91202.741310320867</v>
      </c>
      <c r="X39">
        <f>SQRT(($T39*1000+coord!$B$7*$R39*$U39*1000-coord!$B$2)^2+($U39*1000-coord!$B$7*$R39*$T39*1000-coord!$C$2)^2+($V39*1000-coord!$D$2)^2)</f>
        <v>20174148.364245716</v>
      </c>
      <c r="Y39" s="3">
        <f>$D39-(X39-$W39)-coord!$E$2</f>
        <v>-3.3952174857258797</v>
      </c>
      <c r="Z39" s="3"/>
      <c r="AB39">
        <f>-(T39*1000-coord!$B$2)/$X39</f>
        <v>-0.53895976253559363</v>
      </c>
      <c r="AC39">
        <f>-(U39*1000-coord!$C$2)/$X39</f>
        <v>-0.15472129213295319</v>
      </c>
      <c r="AD39">
        <f>-(V39*1000-coord!$D$2)/$X39</f>
        <v>-0.82799986959106009</v>
      </c>
      <c r="AE39">
        <v>1</v>
      </c>
      <c r="BD39">
        <f>SQRT(($T39*1000+coord!$B$7*$R39*$U39*1000-coord!$B$2-BA$34)^2+($U39*1000-coord!$B$7*$R39*$T39*1000-coord!$C$2-BA$35)^2+($V39*1000-coord!$D$2-BA$36)^2)</f>
        <v>20174135.793677989</v>
      </c>
      <c r="BE39" s="3">
        <f t="shared" si="19"/>
        <v>1.1075445272039062</v>
      </c>
      <c r="BG39" s="1"/>
      <c r="BH39" s="1"/>
      <c r="BI39" s="1"/>
      <c r="CG39" s="1"/>
      <c r="CH39" s="1"/>
      <c r="CI39" s="1"/>
    </row>
    <row r="40" spans="1:111">
      <c r="A40">
        <v>8</v>
      </c>
      <c r="B40">
        <f t="shared" si="17"/>
        <v>0.31666666666666665</v>
      </c>
      <c r="C40">
        <v>7</v>
      </c>
      <c r="D40">
        <f>tetto!D40*coord!$B$13-tetto!G40*coord!$B$14</f>
        <v>22099725.767479174</v>
      </c>
      <c r="E40" s="5">
        <f>90-DEGREES(ACOS((coord!$B$2*($T40*1000-coord!$B$2)+coord!$C$2*($U40*1000-coord!$C$2)+coord!$D$2*($V40*1000-coord!$D$2))/(SQRT(coord!$B$2^2+coord!$C$2^2+coord!$D$2^2)*SQRT(($T40*1000-coord!$B$2)^2+($U40*1000-coord!$C$2)^2+($V40*1000-coord!$D$2)^2))))</f>
        <v>40.122877633954737</v>
      </c>
      <c r="F40">
        <f>(coord!$C$2*($V40*1000-coord!$D$2)-coord!$D$2*($U40*1000-coord!$C$2))/(SQRT(coord!$B$2^2+coord!$C$2^2+coord!$D$2^2)*SQRT(($T40*1000-coord!$B$2)^2+($U40*1000-coord!$C$2)^2+($V40*1000-coord!$D$2)^2))</f>
        <v>-0.18597161265771769</v>
      </c>
      <c r="G40">
        <f>(-coord!$B$2*($V40*1000-coord!$D$2)+coord!$D$2*($T40*1000-coord!$B$2))/(SQRT(coord!$B$2^2+coord!$C$2^2+coord!$D$2^2)*SQRT(($T40*1000-coord!$B$2)^2+($U40*1000-coord!$C$2)^2+($V40*1000-coord!$D$2)^2))</f>
        <v>0.74113834503732068</v>
      </c>
      <c r="H40">
        <f>(coord!$B$2*($U40*1000-coord!$C$2)-coord!$C$2*($T40*1000-coord!$B$2))/(SQRT(coord!$B$2^2+coord!$C$2^2+coord!$D$2^2)*SQRT(($T40*1000-coord!$B$2)^2+($U40*1000-coord!$C$2)^2+($V40*1000-coord!$D$2)^2))</f>
        <v>2.8978815226341544E-2</v>
      </c>
      <c r="I40">
        <f t="shared" si="5"/>
        <v>4.1142168549568529E-2</v>
      </c>
      <c r="J40">
        <f t="shared" si="6"/>
        <v>0.76355652217665015</v>
      </c>
      <c r="K40">
        <f t="shared" si="7"/>
        <v>1.3542389316847231E-4</v>
      </c>
      <c r="L40">
        <f t="shared" si="18"/>
        <v>176.91575512085865</v>
      </c>
      <c r="M40" s="5">
        <f>'sv07'!$AA$3+'sv07'!$Z$3*($B40)+'sv07'!$Y$3*($B40)^2+'sv07'!$X$3*($B40)^3+'sv07'!$W$3*($B40)^4+'sv07'!$V$3*($B40)^5+'sv07'!$U$3*($B40)^6+'sv07'!$T$3*($B40)^7+'sv07'!$S$3*($B40)^8</f>
        <v>25737.871725737798</v>
      </c>
      <c r="N40" s="5">
        <f>'sv07'!$AA$4+'sv07'!$Z$4*($B40)+'sv07'!$Y$4*($B40)^2+'sv07'!$X$4*($B40)^3+'sv07'!$W$4*($B40)^4+'sv07'!$V$4*($B40)^5+'sv07'!$U$4*($B40)^6+'sv07'!$T$4*($B40)^7+'sv07'!$S$4*($B40)^8</f>
        <v>6351.2784765329352</v>
      </c>
      <c r="O40" s="5">
        <f>'sv07'!$AA$5+'sv07'!$Z$5*($B40)+'sv07'!$Y$5*($B40)^2+'sv07'!$X$5*($B40)^3+'sv07'!$W$5*($B40)^4+'sv07'!$V$5*($B40)^5+'sv07'!$U$5*($B40)^6+'sv07'!$T$5*($B40)^7+'sv07'!$S$5*($B40)^8</f>
        <v>2742.2652958640624</v>
      </c>
      <c r="P40" s="5">
        <f>'sv07'!$AA$6+'sv07'!$Z$6*$B40+'sv07'!$Y$6*$B40^2+'sv07'!$X$6*$B40^3+'sv07'!$W$6*$B40^4+'sv07'!$V$6*$B40^5+'sv07'!$U$6*$B40^6+'sv07'!$T$6*$B40^7+'sv07'!$S$6*$B40^8</f>
        <v>-0.63762153456196424</v>
      </c>
      <c r="R40">
        <f>SQRT(($M40*1000-coord!$B$2)^2+($N40*1000-coord!$C$2)^2+($O40*1000-coord!$D$2)^2)/coord!$B$6</f>
        <v>7.3715971944129668E-2</v>
      </c>
      <c r="T40" s="5">
        <f>'sv07'!$AA$3+'sv07'!$Z$3*($B40-$R40/3600)+'sv07'!$Y$3*($B40-$R40/3600)^2+'sv07'!$X$3*($B40-$R40/3600)^3+'sv07'!$W$3*($B40-$R40/3600)^4+'sv07'!$V$3*($B40-$R40/3600)^5+'sv07'!$U$3*($B40-$R40/3600)^6+'sv07'!$T$3*($B40-$R40/3600)^7+'sv07'!$S$3*($B40-$R40/3600)^8+N40*coord!$B$7*R40</f>
        <v>25737.934019795135</v>
      </c>
      <c r="U40" s="5">
        <f>'sv07'!$AA$4+'sv07'!$Z$4*($B40-$R40/3600)+'sv07'!$Y$4*($B40-$R40/3600)^2+'sv07'!$X$4*($B40-$R40/3600)^3+'sv07'!$W$4*($B40-$R40/3600)^4+'sv07'!$V$4*($B40-$R40/3600)^5+'sv07'!$U$4*($B40-$R40/3600)^6+'sv07'!$T$4*($B40-$R40/3600)^7+'sv07'!$S$4*($B40-$R40/3600)^8-M40*coord!$B$7*R40</f>
        <v>6351.127675337857</v>
      </c>
      <c r="V40" s="5">
        <f>'sv07'!$AA$5+'sv07'!$Z$5*($B40-$R40/3600)+'sv07'!$Y$5*($B40-$R40/3600)^2+'sv07'!$X$5*($B40-$R40/3600)^3+'sv07'!$W$5*($B40-$R40/3600)^4+'sv07'!$V$5*($B40-$R40/3600)^5+'sv07'!$U$5*($B40-$R40/3600)^6+'sv07'!$T$5*($B40-$R40/3600)^7+'sv07'!$S$5*($B40-$R40/3600)^8</f>
        <v>2742.0321051076558</v>
      </c>
      <c r="W40">
        <f>coord!$B$6*P40/10^6</f>
        <v>-191.15412712006321</v>
      </c>
      <c r="X40">
        <f>SQRT(($T40*1000+coord!$B$7*$R40*$U40*1000-coord!$B$2)^2+($U40*1000-coord!$B$7*$R40*$T40*1000-coord!$C$2)^2+($V40*1000-coord!$D$2)^2)</f>
        <v>22099533.335532352</v>
      </c>
      <c r="Y40" s="3">
        <f>$D40-(X40-$W40)-coord!$E$2</f>
        <v>1.2778197005391121</v>
      </c>
      <c r="Z40" s="3" t="s">
        <v>127</v>
      </c>
      <c r="AA40" s="1" t="s">
        <v>128</v>
      </c>
      <c r="AB40">
        <f>-(T40*1000-coord!$B$2)/$X40</f>
        <v>-0.96604102561158722</v>
      </c>
      <c r="AC40">
        <f>-(U40*1000-coord!$C$2)/$X40</f>
        <v>-0.24555077158180802</v>
      </c>
      <c r="AD40">
        <f>-(V40*1000-coord!$D$2)/$X40</f>
        <v>8.0434104295511566E-2</v>
      </c>
      <c r="AE40">
        <v>1</v>
      </c>
      <c r="BD40">
        <f>SQRT(($T40*1000+coord!$B$7*$R40*$U40*1000-coord!$B$2-BA$34)^2+($U40*1000-coord!$B$7*$R40*$T40*1000-coord!$C$2-BA$35)^2+($V40*1000-coord!$D$2-BA$36)^2)</f>
        <v>22099531.491435278</v>
      </c>
      <c r="BE40" s="3">
        <f t="shared" si="19"/>
        <v>-4.9458889394987935</v>
      </c>
      <c r="BF40" s="3" t="s">
        <v>127</v>
      </c>
      <c r="BG40" s="1" t="s">
        <v>128</v>
      </c>
      <c r="BH40" s="1"/>
      <c r="BI40" s="1"/>
      <c r="CG40" s="1"/>
      <c r="CH40" s="1"/>
      <c r="CI40" s="1"/>
    </row>
    <row r="41" spans="1:111">
      <c r="Y41" s="3"/>
      <c r="Z41" s="3">
        <f>AVERAGE($Y34:$Y40)</f>
        <v>-2.7313377750771388</v>
      </c>
      <c r="AA41" s="1">
        <f>SQRT(DEVSQ($Y34:$Y40)/6)</f>
        <v>15.798091527486426</v>
      </c>
      <c r="BE41" s="3"/>
      <c r="BF41" s="3">
        <f>AVERAGE($BE34:$BE40)</f>
        <v>6.6714309153123198E-5</v>
      </c>
      <c r="BG41" s="1">
        <f>SQRT(DEVSQ($BE34:$BE40)/6)</f>
        <v>4.152037261534173</v>
      </c>
      <c r="BH41" s="1"/>
      <c r="BI41" s="1"/>
      <c r="CG41" s="1"/>
      <c r="CH41" s="1"/>
      <c r="CI41" s="1"/>
    </row>
    <row r="42" spans="1:111">
      <c r="A42">
        <v>10</v>
      </c>
      <c r="B42">
        <f t="shared" ref="B42:B48" si="20">(60-45)/60+30*A42/3600</f>
        <v>0.33333333333333331</v>
      </c>
      <c r="C42">
        <v>2</v>
      </c>
      <c r="D42">
        <f>tetto!D42*coord!$B$13-tetto!G42*coord!$B$14</f>
        <v>22787736.121749245</v>
      </c>
      <c r="E42" s="5">
        <f>90-DEGREES(ACOS((coord!$B$2*($T42*1000-coord!$B$2)+coord!$C$2*($U42*1000-coord!$C$2)+coord!$D$2*($V42*1000-coord!$D$2))/(SQRT(coord!$B$2^2+coord!$C$2^2+coord!$D$2^2)*SQRT(($T42*1000-coord!$B$2)^2+($U42*1000-coord!$C$2)^2+($V42*1000-coord!$D$2)^2))))</f>
        <v>28.473592955482111</v>
      </c>
      <c r="F42">
        <f>(coord!$C$2*($V42*1000-coord!$D$2)-coord!$D$2*($U42*1000-coord!$C$2))/(SQRT(coord!$B$2^2+coord!$C$2^2+coord!$D$2^2)*SQRT(($T42*1000-coord!$B$2)^2+($U42*1000-coord!$C$2)^2+($V42*1000-coord!$D$2)^2))</f>
        <v>0.58920484711972954</v>
      </c>
      <c r="G42">
        <f>(-coord!$B$2*($V42*1000-coord!$D$2)+coord!$D$2*($T42*1000-coord!$B$2))/(SQRT(coord!$B$2^2+coord!$C$2^2+coord!$D$2^2)*SQRT(($T42*1000-coord!$B$2)^2+($U42*1000-coord!$C$2)^2+($V42*1000-coord!$D$2)^2))</f>
        <v>-0.43922445980967861</v>
      </c>
      <c r="H42">
        <f>(coord!$B$2*($U42*1000-coord!$C$2)-coord!$C$2*($T42*1000-coord!$B$2))/(SQRT(coord!$B$2^2+coord!$C$2^2+coord!$D$2^2)*SQRT(($T42*1000-coord!$B$2)^2+($U42*1000-coord!$C$2)^2+($V42*1000-coord!$D$2)^2))</f>
        <v>-0.48231261497864253</v>
      </c>
      <c r="I42">
        <f t="shared" si="5"/>
        <v>-0.68471047369066285</v>
      </c>
      <c r="J42">
        <f t="shared" si="6"/>
        <v>-0.55124606480801142</v>
      </c>
      <c r="K42">
        <f t="shared" si="7"/>
        <v>-2.2977780602316256E-3</v>
      </c>
      <c r="L42">
        <f t="shared" ref="L42:L48" si="21">90+DEGREES(ATAN2(I42,J42))</f>
        <v>-51.163186512334676</v>
      </c>
      <c r="M42" s="5">
        <f>'sv02'!$AA$3+'sv02'!$Z$3*($B42)+'sv02'!$Y$3*($B42)^2+'sv02'!$X$3*($B42)^3+'sv02'!$W$3*($B42)^4+'sv02'!$V$3*($B42)^5+'sv02'!$U$3*($B42)^6+'sv02'!$T$3*($B42)^7+'sv02'!$S$3*($B42)^8</f>
        <v>6375.7873971284698</v>
      </c>
      <c r="N42" s="5">
        <f>'sv02'!$AA$4+'sv02'!$Z$4*($B42)+'sv02'!$Y$4*($B42)^2+'sv02'!$X$4*($B42)^3+'sv02'!$W$4*($B42)^4+'sv02'!$V$4*($B42)^5+'sv02'!$U$4*($B42)^6+'sv02'!$T$4*($B42)^7+'sv02'!$S$4*($B42)^8</f>
        <v>-14656.398613158328</v>
      </c>
      <c r="O42" s="5">
        <f>'sv02'!$AA$5+'sv02'!$Z$5*($B42)+'sv02'!$Y$5*($B42)^2+'sv02'!$X$5*($B42)^3+'sv02'!$W$5*($B42)^4+'sv02'!$V$5*($B42)^5+'sv02'!$U$5*($B42)^6+'sv02'!$T$5*($B42)^7+'sv02'!$S$5*($B42)^8</f>
        <v>21135.541478513234</v>
      </c>
      <c r="P42" s="5">
        <f>'sv02'!$AA$6+'sv02'!$Z$6*$B42+'sv02'!$Y$6*$B42^2+'sv02'!$X$6*$B42^3+'sv02'!$W$6*$B42^4+'sv02'!$V$6*$B42^5+'sv02'!$U$6*$B42^6+'sv02'!$T$6*$B42^7+'sv02'!$S$6*$B42^8</f>
        <v>257.59076390400134</v>
      </c>
      <c r="R42">
        <f>SQRT(($M42*1000-coord!$B$2)^2+($N42*1000-coord!$C$2)^2+($O42*1000-coord!$D$2)^2)/coord!$B$6</f>
        <v>7.6269143975975298E-2</v>
      </c>
      <c r="T42" s="5">
        <f>'sv02'!$AA$3+'sv02'!$Z$3*($B42-$R42/3600)+'sv02'!$Y$3*($B42-$R42/3600)^2+'sv02'!$X$3*($B42-$R42/3600)^3+'sv02'!$W$3*($B42-$R42/3600)^4+'sv02'!$V$3*($B42-$R42/3600)^5+'sv02'!$U$3*($B42-$R42/3600)^6+'sv02'!$T$3*($B42-$R42/3600)^7+'sv02'!$S$3*($B42-$R42/3600)^8+N42*coord!$B$7*R42</f>
        <v>6375.5028008323388</v>
      </c>
      <c r="U42" s="5">
        <f>'sv02'!$AA$4+'sv02'!$Z$4*($B42-$R42/3600)+'sv02'!$Y$4*($B42-$R42/3600)^2+'sv02'!$X$4*($B42-$R42/3600)^3+'sv02'!$W$4*($B42-$R42/3600)^4+'sv02'!$V$4*($B42-$R42/3600)^5+'sv02'!$U$4*($B42-$R42/3600)^6+'sv02'!$T$4*($B42-$R42/3600)^7+'sv02'!$S$4*($B42-$R42/3600)^8-M42*coord!$B$7*R42</f>
        <v>-14656.470256670444</v>
      </c>
      <c r="V42" s="5">
        <f>'sv02'!$AA$5+'sv02'!$Z$5*($B42-$R42/3600)+'sv02'!$Y$5*($B42-$R42/3600)^2+'sv02'!$X$5*($B42-$R42/3600)^3+'sv02'!$W$5*($B42-$R42/3600)^4+'sv02'!$V$5*($B42-$R42/3600)^5+'sv02'!$U$5*($B42-$R42/3600)^6+'sv02'!$T$5*($B42-$R42/3600)^7+'sv02'!$S$5*($B42-$R42/3600)^8</f>
        <v>21135.581089310559</v>
      </c>
      <c r="W42">
        <f>coord!$B$6*P42/10^6</f>
        <v>77223.768268878237</v>
      </c>
      <c r="X42">
        <f>SQRT(($T42*1000+coord!$B$7*$R42*$U42*1000-coord!$B$2)^2+($U42*1000-coord!$B$7*$R42*$T42*1000-coord!$C$2)^2+($V42*1000-coord!$D$2)^2)</f>
        <v>22864984.099214252</v>
      </c>
      <c r="Y42" s="3">
        <f>$D42-(X42-$W42)-coord!$E$2</f>
        <v>-24.209196127951145</v>
      </c>
      <c r="Z42" s="3"/>
      <c r="AB42">
        <f>-(T42*1000-coord!$B$2)/$X42</f>
        <v>-8.6885021280229444E-2</v>
      </c>
      <c r="AC42">
        <f>-(U42*1000-coord!$C$2)/$X42</f>
        <v>0.68143675072163645</v>
      </c>
      <c r="AD42">
        <f>-(V42*1000-coord!$D$2)/$X42</f>
        <v>-0.72670038793429836</v>
      </c>
      <c r="AE42">
        <v>1</v>
      </c>
      <c r="AG42">
        <f t="array" ref="AG42:AM45">TRANSPOSE(AB42:AE48)</f>
        <v>-8.6885021280229444E-2</v>
      </c>
      <c r="AH42">
        <v>-0.23275570443316748</v>
      </c>
      <c r="AI42">
        <v>-0.13415050980623799</v>
      </c>
      <c r="AJ42">
        <v>-0.7900492771384422</v>
      </c>
      <c r="AK42">
        <v>-0.42914855733981794</v>
      </c>
      <c r="AL42">
        <v>-0.53335827382081291</v>
      </c>
      <c r="AM42">
        <v>-0.96649445288612579</v>
      </c>
      <c r="AO42">
        <f t="array" ref="AO42:AR45">MMULT(AG42:AM45,AB42:AE48)</f>
        <v>2.1066495044369105</v>
      </c>
      <c r="AP42">
        <v>0.36066029732616417</v>
      </c>
      <c r="AQ42">
        <v>1.1213708722319886</v>
      </c>
      <c r="AR42">
        <v>-3.1728417967048337</v>
      </c>
      <c r="AT42">
        <f t="array" ref="AT42:AW45">MINVERSE(AO42:AR45)</f>
        <v>2.4852992473643347</v>
      </c>
      <c r="AU42">
        <v>-9.4232512585338782E-2</v>
      </c>
      <c r="AV42">
        <v>1.4027970806743928</v>
      </c>
      <c r="AW42">
        <v>1.8200479752089669</v>
      </c>
      <c r="AY42">
        <f t="array" ref="AY42:AY45">MMULT(AG42:AM45,Y42:Y48)</f>
        <v>2.4345552778871387</v>
      </c>
      <c r="BA42">
        <f t="array" ref="BA42:BA45">MMULT(AT42:AW45,AY42:AY45)</f>
        <v>8.7319427293381793</v>
      </c>
      <c r="BD42">
        <f>SQRT(($T42*1000+coord!$B$7*$R42*$U42*1000-coord!$B$2-BA$42)^2+($U42*1000-coord!$B$7*$R42*$T42*1000-coord!$C$2-BA$43)^2+($V42*1000-coord!$D$2-BA$44)^2)</f>
        <v>22864958.458184153</v>
      </c>
      <c r="BE42" s="3">
        <f>$D42-(BD42-$W42)-BA$45</f>
        <v>-5.951808354075105</v>
      </c>
      <c r="BG42" s="1">
        <f>coord!$B$2+$BA42</f>
        <v>4388886.9027427295</v>
      </c>
      <c r="BH42" s="1">
        <f>coord!$C$2+$BA43</f>
        <v>924548.31139195454</v>
      </c>
      <c r="BI42" s="1">
        <f>coord!$D$2+$BA44</f>
        <v>4519601.9768621214</v>
      </c>
      <c r="BJ42" s="1">
        <f>coord!$E$2+$BA45</f>
        <v>7.3836423253668855</v>
      </c>
      <c r="BK42" s="8">
        <f>lat($BG42,$BH42,$BI42)</f>
        <v>45.411232005420779</v>
      </c>
      <c r="BL42" s="8">
        <f>lon($BG42,$BH42,$BI42)</f>
        <v>11.895809764971396</v>
      </c>
      <c r="BM42" s="6">
        <f>h($BG42,$BH42,$BI42)</f>
        <v>74.708534588105977</v>
      </c>
      <c r="BO42">
        <f>grado($BK42)</f>
        <v>45</v>
      </c>
      <c r="BP42">
        <f>MINUTOprimo($BK42)</f>
        <v>24</v>
      </c>
      <c r="BQ42">
        <f>MINUTOsecondo($BK42)</f>
        <v>40.435219514802725</v>
      </c>
      <c r="BR42">
        <f>grado($BL42)</f>
        <v>11</v>
      </c>
      <c r="BS42">
        <f>MINUTOprimo($BL42)</f>
        <v>53</v>
      </c>
      <c r="BT42">
        <f>MINUTOsecondo($BL42)</f>
        <v>44.915153897026698</v>
      </c>
      <c r="BV42">
        <f>-SIN(RADIANS(BK42))*COS(RADIANS(BL42))</f>
        <v>-0.69686929683526166</v>
      </c>
      <c r="BW42">
        <f>-SIN(RADIANS(BL42))</f>
        <v>-0.20613262315851011</v>
      </c>
      <c r="BX42">
        <f>COS(RADIANS(BK42))*COS(RADIANS(BL42))</f>
        <v>0.68693706028872814</v>
      </c>
      <c r="BZ42" t="s">
        <v>93</v>
      </c>
      <c r="CA42">
        <f t="array" ref="CA42:CC44">MINVERSE(BV42:BX44)</f>
        <v>-0.69686929683526155</v>
      </c>
      <c r="CB42">
        <v>-0.14680016731514839</v>
      </c>
      <c r="CC42">
        <v>0.70201345713922914</v>
      </c>
      <c r="CD42">
        <v>0</v>
      </c>
      <c r="CE42" s="1">
        <f t="array" ref="CE42:CE44">MMULT(CA42:CC44,BA42:BA44)</f>
        <v>6.749549302261947</v>
      </c>
      <c r="CG42" s="1">
        <f t="array" ref="CG42:CI42">TRANSPOSE(CE42:CE44)</f>
        <v>6.749549302261947</v>
      </c>
      <c r="CH42" s="1">
        <v>-23.231384453504827</v>
      </c>
      <c r="CI42" s="1">
        <v>12.587398014195475</v>
      </c>
      <c r="CK42">
        <f t="array" ref="CK42:CN45">MMULT(CA42:CD45,AT42:AW45)</f>
        <v>-0.7333129620528861</v>
      </c>
      <c r="CL42">
        <v>0.17824612784428212</v>
      </c>
      <c r="CM42">
        <v>0.61203276543457008</v>
      </c>
      <c r="CN42">
        <v>-3.0686078926548621E-2</v>
      </c>
      <c r="CP42">
        <f t="array" ref="CP42:CS45">TRANSPOSE(CA42:CD45)</f>
        <v>-0.69686929683526155</v>
      </c>
      <c r="CQ42">
        <v>-0.20613262315851008</v>
      </c>
      <c r="CR42">
        <v>0.68693706028872803</v>
      </c>
      <c r="CS42">
        <v>0</v>
      </c>
      <c r="CU42" s="5">
        <f t="array" ref="CU42:CX45">MMULT(CK42:CN45,CP42:CS45)</f>
        <v>0.91451196438036497</v>
      </c>
      <c r="CV42" s="5">
        <v>0.32557784967806536</v>
      </c>
      <c r="CW42" s="5">
        <v>-4.2078725930307426E-2</v>
      </c>
      <c r="CX42" s="5">
        <v>-3.0686078926548621E-2</v>
      </c>
      <c r="CZ42" s="3">
        <f>SQRT(CU42+CV43)</f>
        <v>1.2320485779782555</v>
      </c>
      <c r="DA42" s="3">
        <f>CW44</f>
        <v>3.7664518837780117</v>
      </c>
      <c r="DB42" s="3">
        <f>CX45</f>
        <v>1.8473297408283205</v>
      </c>
      <c r="DC42" s="3">
        <f>BG49</f>
        <v>4.4439425784807369</v>
      </c>
      <c r="DD42">
        <v>6</v>
      </c>
      <c r="DE42" s="6">
        <f>DB42*DD42*DC42</f>
        <v>49.256563750564546</v>
      </c>
      <c r="DF42">
        <v>5.33</v>
      </c>
      <c r="DG42" s="6">
        <f>DC42*DF42*SQRT(0.5*(CU42+CV43)+SQRT((0.5*(CU42-CV43))^2+CV42^2))</f>
        <v>25.064843366553962</v>
      </c>
    </row>
    <row r="43" spans="1:111">
      <c r="A43">
        <v>10</v>
      </c>
      <c r="B43">
        <f t="shared" si="20"/>
        <v>0.33333333333333331</v>
      </c>
      <c r="C43">
        <v>23</v>
      </c>
      <c r="D43">
        <f>tetto!D43*coord!$B$13-tetto!G43*coord!$B$14</f>
        <v>20954024.553321164</v>
      </c>
      <c r="E43" s="5">
        <f>90-DEGREES(ACOS((coord!$B$2*($T43*1000-coord!$B$2)+coord!$C$2*($U43*1000-coord!$C$2)+coord!$D$2*($V43*1000-coord!$D$2))/(SQRT(coord!$B$2^2+coord!$C$2^2+coord!$D$2^2)*SQRT(($T43*1000-coord!$B$2)^2+($U43*1000-coord!$C$2)^2+($V43*1000-coord!$D$2)^2))))</f>
        <v>54.623310362799522</v>
      </c>
      <c r="F43">
        <f>(coord!$C$2*($V43*1000-coord!$D$2)-coord!$D$2*($U43*1000-coord!$C$2))/(SQRT(coord!$B$2^2+coord!$C$2^2+coord!$D$2^2)*SQRT(($T43*1000-coord!$B$2)^2+($U43*1000-coord!$C$2)^2+($V43*1000-coord!$D$2)^2))</f>
        <v>-0.25986666888546772</v>
      </c>
      <c r="G43">
        <f>(-coord!$B$2*($V43*1000-coord!$D$2)+coord!$D$2*($T43*1000-coord!$B$2))/(SQRT(coord!$B$2^2+coord!$C$2^2+coord!$D$2^2)*SQRT(($T43*1000-coord!$B$2)^2+($U43*1000-coord!$C$2)^2+($V43*1000-coord!$D$2)^2))</f>
        <v>-0.39568374905287484</v>
      </c>
      <c r="H43">
        <f>(coord!$B$2*($U43*1000-coord!$C$2)-coord!$C$2*($T43*1000-coord!$B$2))/(SQRT(coord!$B$2^2+coord!$C$2^2+coord!$D$2^2)*SQRT(($T43*1000-coord!$B$2)^2+($U43*1000-coord!$C$2)^2+($V43*1000-coord!$D$2)^2))</f>
        <v>0.33329597016109613</v>
      </c>
      <c r="I43">
        <f t="shared" si="5"/>
        <v>0.47315781081955244</v>
      </c>
      <c r="J43">
        <f t="shared" si="6"/>
        <v>-0.33361905699720934</v>
      </c>
      <c r="K43">
        <f t="shared" si="7"/>
        <v>1.5904265262697281E-3</v>
      </c>
      <c r="L43">
        <f t="shared" si="21"/>
        <v>54.81270146230316</v>
      </c>
      <c r="M43" s="5">
        <f>'sv23'!$AA$3+'sv23'!$Z$3*($B43)+'sv23'!$Y$3*($B43)^2+'sv23'!$X$3*($B43)^3+'sv23'!$W$3*($B43)^4+'sv23'!$V$3*($B43)^5+'sv23'!$U$3*($B43)^6+'sv23'!$T$3*($B43)^7+'sv23'!$S$3*($B43)^8</f>
        <v>9291.6792309016801</v>
      </c>
      <c r="N43" s="5">
        <f>'sv23'!$AA$4+'sv23'!$Z$4*($B43)+'sv23'!$Y$4*($B43)^2+'sv23'!$X$4*($B43)^3+'sv23'!$W$4*($B43)^4+'sv23'!$V$4*($B43)^5+'sv23'!$U$4*($B43)^6+'sv23'!$T$4*($B43)^7+'sv23'!$S$4*($B43)^8</f>
        <v>12143.539508619177</v>
      </c>
      <c r="O43" s="5">
        <f>'sv23'!$AA$5+'sv23'!$Z$5*($B43)+'sv23'!$Y$5*($B43)^2+'sv23'!$X$5*($B43)^3+'sv23'!$W$5*($B43)^4+'sv23'!$V$5*($B43)^5+'sv23'!$U$5*($B43)^6+'sv23'!$T$5*($B43)^7+'sv23'!$S$5*($B43)^8</f>
        <v>21661.11163502781</v>
      </c>
      <c r="P43" s="5">
        <f>'sv23'!$AA$6+'sv23'!$Z$6*$B43+'sv23'!$Y$6*$B43^2+'sv23'!$X$6*$B43^3+'sv23'!$W$6*$B43^4+'sv23'!$V$6*$B43^5+'sv23'!$U$6*$B43^6+'sv23'!$T$6*$B43^7+'sv23'!$S$6*$B43^8</f>
        <v>370.05721328751224</v>
      </c>
      <c r="R43">
        <f>SQRT(($M43*1000-coord!$B$2)^2+($N43*1000-coord!$C$2)^2+($O43*1000-coord!$D$2)^2)/coord!$B$6</f>
        <v>7.0265302655560857E-2</v>
      </c>
      <c r="T43" s="5">
        <f>'sv23'!$AA$3+'sv23'!$Z$3*($B43-$R43/3600)+'sv23'!$Y$3*($B43-$R43/3600)^2+'sv23'!$X$3*($B43-$R43/3600)^3+'sv23'!$W$3*($B43-$R43/3600)^4+'sv23'!$V$3*($B43-$R43/3600)^5+'sv23'!$U$3*($B43-$R43/3600)^6+'sv23'!$T$3*($B43-$R43/3600)^7+'sv23'!$S$3*($B43-$R43/3600)^8+N43*coord!$B$7*R43</f>
        <v>9291.8682042161945</v>
      </c>
      <c r="U43" s="5">
        <f>'sv23'!$AA$4+'sv23'!$Z$4*($B43-$R43/3600)+'sv23'!$Y$4*($B43-$R43/3600)^2+'sv23'!$X$4*($B43-$R43/3600)^3+'sv23'!$W$4*($B43-$R43/3600)^4+'sv23'!$V$4*($B43-$R43/3600)^5+'sv23'!$U$4*($B43-$R43/3600)^6+'sv23'!$T$4*($B43-$R43/3600)^7+'sv23'!$S$4*($B43-$R43/3600)^8-M43*coord!$B$7*R43</f>
        <v>12143.345247659054</v>
      </c>
      <c r="V43" s="5">
        <f>'sv23'!$AA$5+'sv23'!$Z$5*($B43-$R43/3600)+'sv23'!$Y$5*($B43-$R43/3600)^2+'sv23'!$X$5*($B43-$R43/3600)^3+'sv23'!$W$5*($B43-$R43/3600)^4+'sv23'!$V$5*($B43-$R43/3600)^5+'sv23'!$U$5*($B43-$R43/3600)^6+'sv23'!$T$5*($B43-$R43/3600)^7+'sv23'!$S$5*($B43-$R43/3600)^8</f>
        <v>21661.141621664596</v>
      </c>
      <c r="W43">
        <f>coord!$B$6*P43/10^6</f>
        <v>110940.36157209355</v>
      </c>
      <c r="X43">
        <f>SQRT(($T43*1000+coord!$B$7*$R43*$U43*1000-coord!$B$2)^2+($U43*1000-coord!$B$7*$R43*$T43*1000-coord!$C$2)^2+($V43*1000-coord!$D$2)^2)</f>
        <v>21064961.846398138</v>
      </c>
      <c r="Y43" s="3">
        <f>$D43-(X43-$W43)-coord!$E$2</f>
        <v>3.0684951208531857</v>
      </c>
      <c r="Z43" s="3"/>
      <c r="AB43">
        <f>-(T43*1000-coord!$B$2)/$X43</f>
        <v>-0.23275570443316748</v>
      </c>
      <c r="AC43">
        <f>-(U43*1000-coord!$C$2)/$X43</f>
        <v>-0.53257988864467531</v>
      </c>
      <c r="AD43">
        <f>-(V43*1000-coord!$D$2)/$X43</f>
        <v>-0.81374718228106369</v>
      </c>
      <c r="AE43">
        <v>1</v>
      </c>
      <c r="AG43">
        <v>0.68143675072163645</v>
      </c>
      <c r="AH43">
        <v>-0.53257988864467531</v>
      </c>
      <c r="AI43">
        <v>0.79703551734318168</v>
      </c>
      <c r="AJ43">
        <v>0.38783632329540307</v>
      </c>
      <c r="AK43">
        <v>-0.89808167494111169</v>
      </c>
      <c r="AL43">
        <v>-0.16066120161386641</v>
      </c>
      <c r="AM43">
        <v>-0.24639357998379388</v>
      </c>
      <c r="AO43">
        <v>0.36066029732616417</v>
      </c>
      <c r="AP43">
        <v>2.4267525254229203</v>
      </c>
      <c r="AQ43">
        <v>-0.51305284797157513</v>
      </c>
      <c r="AR43">
        <v>2.8592246176774E-2</v>
      </c>
      <c r="AT43">
        <v>-9.4232512585339004E-2</v>
      </c>
      <c r="AU43">
        <v>0.4802201264236865</v>
      </c>
      <c r="AV43">
        <v>0.26078528282500857</v>
      </c>
      <c r="AW43">
        <v>8.41890314173208E-2</v>
      </c>
      <c r="AY43">
        <v>-56.820026526446007</v>
      </c>
      <c r="BA43">
        <v>-21.901808045447488</v>
      </c>
      <c r="BD43">
        <f>SQRT(($T43*1000+coord!$B$7*$R43*$U43*1000-coord!$B$2-BA$42)^2+($U43*1000-coord!$B$7*$R43*$T43*1000-coord!$C$2-BA$43)^2+($V43*1000-coord!$D$2-BA$44)^2)</f>
        <v>21064960.327972136</v>
      </c>
      <c r="BE43" s="3">
        <f t="shared" ref="BE43:BE48" si="22">$D43-(BD43-$W43)-BA$45</f>
        <v>-2.7967212034417699</v>
      </c>
      <c r="BG43" s="1"/>
      <c r="BH43" s="1"/>
      <c r="BI43" s="1"/>
      <c r="BV43">
        <f>-SIN(RADIANS(BK42))*SIN(RADIANS(BL42))</f>
        <v>-0.14680016731514842</v>
      </c>
      <c r="BW43">
        <f>COS(RADIANS(BL42))</f>
        <v>0.97852406289768457</v>
      </c>
      <c r="BX43">
        <f>COS(RADIANS(BK42))*SIN(RADIANS(BL42))</f>
        <v>0.14470787541268362</v>
      </c>
      <c r="BZ43" t="s">
        <v>94</v>
      </c>
      <c r="CA43">
        <v>-0.20613262315851008</v>
      </c>
      <c r="CB43">
        <v>0.97852406289768445</v>
      </c>
      <c r="CC43">
        <v>-2.8364734877788144E-17</v>
      </c>
      <c r="CD43">
        <v>0</v>
      </c>
      <c r="CE43" s="1">
        <v>-23.231384453504827</v>
      </c>
      <c r="CG43" s="1"/>
      <c r="CH43" s="1"/>
      <c r="CI43" s="1"/>
      <c r="CK43">
        <v>-0.60451003426514427</v>
      </c>
      <c r="CL43">
        <v>0.48933134419937863</v>
      </c>
      <c r="CM43">
        <v>-3.3977567504663582E-2</v>
      </c>
      <c r="CN43">
        <v>-0.29279027033026178</v>
      </c>
      <c r="CP43">
        <v>-0.14680016731514839</v>
      </c>
      <c r="CQ43">
        <v>0.97852406289768445</v>
      </c>
      <c r="CR43">
        <v>0.1447078754126836</v>
      </c>
      <c r="CS43">
        <v>0</v>
      </c>
      <c r="CU43" s="5">
        <v>0.3255778496780653</v>
      </c>
      <c r="CV43" s="5">
        <v>0.60343173411787621</v>
      </c>
      <c r="CW43" s="5">
        <v>-0.36864783614616592</v>
      </c>
      <c r="CX43" s="5">
        <v>-0.29279027033026178</v>
      </c>
    </row>
    <row r="44" spans="1:111">
      <c r="A44">
        <v>10</v>
      </c>
      <c r="B44">
        <f t="shared" si="20"/>
        <v>0.33333333333333331</v>
      </c>
      <c r="C44">
        <v>10</v>
      </c>
      <c r="D44">
        <f>tetto!D44*coord!$B$13-tetto!G44*coord!$B$14</f>
        <v>23170374.094366252</v>
      </c>
      <c r="E44" s="5">
        <f>90-DEGREES(ACOS((coord!$B$2*($T44*1000-coord!$B$2)+coord!$C$2*($U44*1000-coord!$C$2)+coord!$D$2*($V44*1000-coord!$D$2))/(SQRT(coord!$B$2^2+coord!$C$2^2+coord!$D$2^2)*SQRT(($T44*1000-coord!$B$2)^2+($U44*1000-coord!$C$2)^2+($V44*1000-coord!$D$2)^2))))</f>
        <v>23.247007724797101</v>
      </c>
      <c r="F44">
        <f>(coord!$C$2*($V44*1000-coord!$D$2)-coord!$D$2*($U44*1000-coord!$C$2))/(SQRT(coord!$B$2^2+coord!$C$2^2+coord!$D$2^2)*SQRT(($T44*1000-coord!$B$2)^2+($U44*1000-coord!$C$2)^2+($V44*1000-coord!$D$2)^2))</f>
        <v>0.65123975973804904</v>
      </c>
      <c r="G44">
        <f>(-coord!$B$2*($V44*1000-coord!$D$2)+coord!$D$2*($T44*1000-coord!$B$2))/(SQRT(coord!$B$2^2+coord!$C$2^2+coord!$D$2^2)*SQRT(($T44*1000-coord!$B$2)^2+($U44*1000-coord!$C$2)^2+($V44*1000-coord!$D$2)^2))</f>
        <v>-0.31065397262576605</v>
      </c>
      <c r="H44">
        <f>(coord!$B$2*($U44*1000-coord!$C$2)-coord!$C$2*($T44*1000-coord!$B$2))/(SQRT(coord!$B$2^2+coord!$C$2^2+coord!$D$2^2)*SQRT(($T44*1000-coord!$B$2)^2+($U44*1000-coord!$C$2)^2+($V44*1000-coord!$D$2)^2))</f>
        <v>-0.56885503716984653</v>
      </c>
      <c r="I44">
        <f t="shared" si="5"/>
        <v>-0.80756881736805952</v>
      </c>
      <c r="J44">
        <f t="shared" si="6"/>
        <v>-0.43822417238160882</v>
      </c>
      <c r="K44">
        <f t="shared" si="7"/>
        <v>-2.7108376117887523E-3</v>
      </c>
      <c r="L44">
        <f t="shared" si="21"/>
        <v>-61.513696109603558</v>
      </c>
      <c r="M44" s="5">
        <f>'sv10'!$AA$3+'sv10'!$Z$3*($B44)+'sv10'!$Y$3*($B44)^2+'sv10'!$X$3*($B44)^3+'sv10'!$W$3*($B44)^4+'sv10'!$V$3*($B44)^5+'sv10'!$U$3*($B44)^6+'sv10'!$T$3*($B44)^7+'sv10'!$S$3*($B44)^8</f>
        <v>7495.6410798643228</v>
      </c>
      <c r="N44" s="5">
        <f>'sv10'!$AA$4+'sv10'!$Z$4*($B44)+'sv10'!$Y$4*($B44)^2+'sv10'!$X$4*($B44)^3+'sv10'!$W$4*($B44)^4+'sv10'!$V$4*($B44)^5+'sv10'!$U$4*($B44)^6+'sv10'!$T$4*($B44)^7+'sv10'!$S$4*($B44)^8</f>
        <v>-17532.568442395419</v>
      </c>
      <c r="O44" s="5">
        <f>'sv10'!$AA$5+'sv10'!$Z$5*($B44)+'sv10'!$Y$5*($B44)^2+'sv10'!$X$5*($B44)^3+'sv10'!$W$5*($B44)^4+'sv10'!$V$5*($B44)^5+'sv10'!$U$5*($B44)^6+'sv10'!$T$5*($B44)^7+'sv10'!$S$5*($B44)^8</f>
        <v>18155.854221482132</v>
      </c>
      <c r="P44" s="5">
        <f>'sv10'!$AA$6+'sv10'!$Z$6*$B44+'sv10'!$Y$6*$B44^2+'sv10'!$X$6*$B44^3+'sv10'!$W$6*$B44^4+'sv10'!$V$6*$B44^5+'sv10'!$U$6*$B44^6+'sv10'!$T$6*$B44^7+'sv10'!$S$6*$B44^8</f>
        <v>-43.000881866890452</v>
      </c>
      <c r="R44">
        <f>SQRT(($M44*1000-coord!$B$2)^2+($N44*1000-coord!$C$2)^2+($O44*1000-coord!$D$2)^2)/coord!$B$6</f>
        <v>7.7244809041307774E-2</v>
      </c>
      <c r="T44" s="5">
        <f>'sv10'!$AA$3+'sv10'!$Z$3*($B44-$R44/3600)+'sv10'!$Y$3*($B44-$R44/3600)^2+'sv10'!$X$3*($B44-$R44/3600)^3+'sv10'!$W$3*($B44-$R44/3600)^4+'sv10'!$V$3*($B44-$R44/3600)^5+'sv10'!$U$3*($B44-$R44/3600)^6+'sv10'!$T$3*($B44-$R44/3600)^7+'sv10'!$S$3*($B44-$R44/3600)^8+N44*coord!$B$7*R44</f>
        <v>7495.4682564930717</v>
      </c>
      <c r="U44" s="5">
        <f>'sv10'!$AA$4+'sv10'!$Z$4*($B44-$R44/3600)+'sv10'!$Y$4*($B44-$R44/3600)^2+'sv10'!$X$4*($B44-$R44/3600)^3+'sv10'!$W$4*($B44-$R44/3600)^4+'sv10'!$V$4*($B44-$R44/3600)^5+'sv10'!$U$4*($B44-$R44/3600)^6+'sv10'!$T$4*($B44-$R44/3600)^7+'sv10'!$S$4*($B44-$R44/3600)^8-M44*coord!$B$7*R44</f>
        <v>-17532.777729047175</v>
      </c>
      <c r="V44" s="5">
        <f>'sv10'!$AA$5+'sv10'!$Z$5*($B44-$R44/3600)+'sv10'!$Y$5*($B44-$R44/3600)^2+'sv10'!$X$5*($B44-$R44/3600)^3+'sv10'!$W$5*($B44-$R44/3600)^4+'sv10'!$V$5*($B44-$R44/3600)^5+'sv10'!$U$5*($B44-$R44/3600)^6+'sv10'!$T$5*($B44-$R44/3600)^7+'sv10'!$S$5*($B44-$R44/3600)^8</f>
        <v>18155.722151216705</v>
      </c>
      <c r="W44">
        <f>coord!$B$6*P44/10^6</f>
        <v>-12891.340071042718</v>
      </c>
      <c r="X44">
        <f>SQRT(($T44*1000+coord!$B$7*$R44*$U44*1000-coord!$B$2)^2+($U44*1000-coord!$B$7*$R44*$T44*1000-coord!$C$2)^2+($V44*1000-coord!$D$2)^2)</f>
        <v>23157497.427181713</v>
      </c>
      <c r="Y44" s="3">
        <f>$D44-(X44-$W44)-coord!$E$2</f>
        <v>-14.672886501997709</v>
      </c>
      <c r="Z44" s="3"/>
      <c r="AB44">
        <f>-(T44*1000-coord!$B$2)/$X44</f>
        <v>-0.13415050980623799</v>
      </c>
      <c r="AC44">
        <f>-(U44*1000-coord!$C$2)/$X44</f>
        <v>0.79703551734318168</v>
      </c>
      <c r="AD44">
        <f>-(V44*1000-coord!$D$2)/$X44</f>
        <v>-0.58884315629507267</v>
      </c>
      <c r="AE44">
        <v>1</v>
      </c>
      <c r="AG44">
        <v>-0.72670038793429836</v>
      </c>
      <c r="AH44">
        <v>-0.81374718228106369</v>
      </c>
      <c r="AI44">
        <v>-0.58884315629507267</v>
      </c>
      <c r="AJ44">
        <v>-0.47476725095673572</v>
      </c>
      <c r="AK44">
        <v>-9.6345966690782214E-2</v>
      </c>
      <c r="AL44">
        <v>-0.83049204280308686</v>
      </c>
      <c r="AM44">
        <v>7.1963654726810947E-2</v>
      </c>
      <c r="AO44">
        <v>1.1213708722319886</v>
      </c>
      <c r="AP44">
        <v>-0.51305284797157513</v>
      </c>
      <c r="AQ44">
        <v>2.4665964818492552</v>
      </c>
      <c r="AR44">
        <v>-3.4589323322342285</v>
      </c>
      <c r="AT44">
        <v>1.4027970806743921</v>
      </c>
      <c r="AU44">
        <v>0.26078528282500874</v>
      </c>
      <c r="AV44">
        <v>2.3188762084882315</v>
      </c>
      <c r="AW44">
        <v>1.7806046664060124</v>
      </c>
      <c r="AY44">
        <v>29.287703580140573</v>
      </c>
      <c r="BA44">
        <v>13.702562121366668</v>
      </c>
      <c r="BD44">
        <f>SQRT(($T44*1000+coord!$B$7*$R44*$U44*1000-coord!$B$2-BA$42)^2+($U44*1000-coord!$B$7*$R44*$T44*1000-coord!$C$2-BA$43)^2+($V44*1000-coord!$D$2-BA$44)^2)</f>
        <v>23157470.730606284</v>
      </c>
      <c r="BE44" s="3">
        <f t="shared" si="22"/>
        <v>4.6400466019259383</v>
      </c>
      <c r="BG44" s="1"/>
      <c r="BH44" s="1"/>
      <c r="BI44" s="1"/>
      <c r="BV44">
        <f>COS(RADIANS(BK42))</f>
        <v>0.70201345713922925</v>
      </c>
      <c r="BW44">
        <v>0</v>
      </c>
      <c r="BX44">
        <f>SIN(RADIANS(BK42))</f>
        <v>0.71216367921667245</v>
      </c>
      <c r="BZ44" t="s">
        <v>95</v>
      </c>
      <c r="CA44">
        <v>0.68693706028872803</v>
      </c>
      <c r="CB44">
        <v>0.1447078754126836</v>
      </c>
      <c r="CC44">
        <v>0.71216367921667256</v>
      </c>
      <c r="CD44">
        <v>0</v>
      </c>
      <c r="CE44" s="1">
        <v>12.587398014195475</v>
      </c>
      <c r="CG44" s="1"/>
      <c r="CH44" s="1"/>
      <c r="CI44" s="1"/>
      <c r="CK44">
        <v>2.6926291023987039</v>
      </c>
      <c r="CL44">
        <v>0.19048163554840758</v>
      </c>
      <c r="CM44">
        <v>2.6527903992815665</v>
      </c>
      <c r="CN44">
        <v>2.5305231920020335</v>
      </c>
      <c r="CP44">
        <v>0.70201345713922914</v>
      </c>
      <c r="CQ44">
        <v>-2.8364734877788144E-17</v>
      </c>
      <c r="CR44">
        <v>0.71216367921667256</v>
      </c>
      <c r="CS44">
        <v>0</v>
      </c>
      <c r="CU44" s="5">
        <v>-4.2078725930307037E-2</v>
      </c>
      <c r="CV44" s="5">
        <v>-0.36864783614616553</v>
      </c>
      <c r="CW44" s="5">
        <v>3.7664518837780117</v>
      </c>
      <c r="CX44" s="5">
        <v>2.5305231920020335</v>
      </c>
    </row>
    <row r="45" spans="1:111">
      <c r="A45">
        <v>10</v>
      </c>
      <c r="B45">
        <f t="shared" si="20"/>
        <v>0.33333333333333331</v>
      </c>
      <c r="C45">
        <v>4</v>
      </c>
      <c r="D45">
        <f>tetto!D45*coord!$B$13-tetto!G45*coord!$B$14</f>
        <v>21086518.35139459</v>
      </c>
      <c r="E45" s="5">
        <f>90-DEGREES(ACOS((coord!$B$2*($T45*1000-coord!$B$2)+coord!$C$2*($U45*1000-coord!$C$2)+coord!$D$2*($V45*1000-coord!$D$2))/(SQRT(coord!$B$2^2+coord!$C$2^2+coord!$D$2^2)*SQRT(($T45*1000-coord!$B$2)^2+($U45*1000-coord!$C$2)^2+($V45*1000-coord!$D$2)^2))))</f>
        <v>55.612385610777814</v>
      </c>
      <c r="F45">
        <f>(coord!$C$2*($V45*1000-coord!$D$2)-coord!$D$2*($U45*1000-coord!$C$2))/(SQRT(coord!$B$2^2+coord!$C$2^2+coord!$D$2^2)*SQRT(($T45*1000-coord!$B$2)^2+($U45*1000-coord!$C$2)^2+($V45*1000-coord!$D$2)^2))</f>
        <v>0.34422496998115948</v>
      </c>
      <c r="G45">
        <f>(-coord!$B$2*($V45*1000-coord!$D$2)+coord!$D$2*($T45*1000-coord!$B$2))/(SQRT(coord!$B$2^2+coord!$C$2^2+coord!$D$2^2)*SQRT(($T45*1000-coord!$B$2)^2+($U45*1000-coord!$C$2)^2+($V45*1000-coord!$D$2)^2))</f>
        <v>0.23353380111608116</v>
      </c>
      <c r="H45">
        <f>(coord!$B$2*($U45*1000-coord!$C$2)-coord!$C$2*($T45*1000-coord!$B$2))/(SQRT(coord!$B$2^2+coord!$C$2^2+coord!$D$2^2)*SQRT(($T45*1000-coord!$B$2)^2+($U45*1000-coord!$C$2)^2+($V45*1000-coord!$D$2)^2))</f>
        <v>-0.38204361726939129</v>
      </c>
      <c r="I45">
        <f t="shared" si="5"/>
        <v>-0.5423623802362354</v>
      </c>
      <c r="J45">
        <f t="shared" si="6"/>
        <v>0.15756243111507096</v>
      </c>
      <c r="K45">
        <f t="shared" si="7"/>
        <v>-1.8222305371327074E-3</v>
      </c>
      <c r="L45">
        <f t="shared" si="21"/>
        <v>253.80081894426581</v>
      </c>
      <c r="M45" s="5">
        <f>'sv04'!$AA$3+'sv04'!$Z$3*($B45)+'sv04'!$Y$3*($B45)^2+'sv04'!$X$3*($B45)^3+'sv04'!$W$3*($B45)^4+'sv04'!$V$3*($B45)^5+'sv04'!$U$3*($B45)^6+'sv04'!$T$3*($B45)^7+'sv04'!$S$3*($B45)^8</f>
        <v>21068.950403362811</v>
      </c>
      <c r="N45" s="5">
        <f>'sv04'!$AA$4+'sv04'!$Z$4*($B45)+'sv04'!$Y$4*($B45)^2+'sv04'!$X$4*($B45)^3+'sv04'!$W$4*($B45)^4+'sv04'!$V$4*($B45)^5+'sv04'!$U$4*($B45)^6+'sv04'!$T$4*($B45)^7+'sv04'!$S$4*($B45)^8</f>
        <v>-7263.4741002065102</v>
      </c>
      <c r="O45" s="5">
        <f>'sv04'!$AA$5+'sv04'!$Z$5*($B45)+'sv04'!$Y$5*($B45)^2+'sv04'!$X$5*($B45)^3+'sv04'!$W$5*($B45)^4+'sv04'!$V$5*($B45)^5+'sv04'!$U$5*($B45)^6+'sv04'!$T$5*($B45)^7+'sv04'!$S$5*($B45)^8</f>
        <v>14542.947039082708</v>
      </c>
      <c r="P45" s="5">
        <f>'sv04'!$AA$6+'sv04'!$Z$6*$B45+'sv04'!$Y$6*$B45^2+'sv04'!$X$6*$B45^3+'sv04'!$W$6*$B45^4+'sv04'!$V$6*$B45^5+'sv04'!$U$6*$B45^6+'sv04'!$T$6*$B45^7+'sv04'!$S$6*$B45^8</f>
        <v>86.597342103300022</v>
      </c>
      <c r="R45">
        <f>SQRT(($M45*1000-coord!$B$2)^2+($N45*1000-coord!$C$2)^2+($O45*1000-coord!$D$2)^2)/coord!$B$6</f>
        <v>7.0423636181122781E-2</v>
      </c>
      <c r="T45" s="5">
        <f>'sv04'!$AA$3+'sv04'!$Z$3*($B45-$R45/3600)+'sv04'!$Y$3*($B45-$R45/3600)^2+'sv04'!$X$3*($B45-$R45/3600)^3+'sv04'!$W$3*($B45-$R45/3600)^4+'sv04'!$V$3*($B45-$R45/3600)^5+'sv04'!$U$3*($B45-$R45/3600)^6+'sv04'!$T$3*($B45-$R45/3600)^7+'sv04'!$S$3*($B45-$R45/3600)^8+N45*coord!$B$7*R45</f>
        <v>21068.786152117464</v>
      </c>
      <c r="U45" s="5">
        <f>'sv04'!$AA$4+'sv04'!$Z$4*($B45-$R45/3600)+'sv04'!$Y$4*($B45-$R45/3600)^2+'sv04'!$X$4*($B45-$R45/3600)^3+'sv04'!$W$4*($B45-$R45/3600)^4+'sv04'!$V$4*($B45-$R45/3600)^5+'sv04'!$U$4*($B45-$R45/3600)^6+'sv04'!$T$4*($B45-$R45/3600)^7+'sv04'!$S$4*($B45-$R45/3600)^8-M45*coord!$B$7*R45</f>
        <v>-7263.6205384082987</v>
      </c>
      <c r="V45" s="5">
        <f>'sv04'!$AA$5+'sv04'!$Z$5*($B45-$R45/3600)+'sv04'!$Y$5*($B45-$R45/3600)^2+'sv04'!$X$5*($B45-$R45/3600)^3+'sv04'!$W$5*($B45-$R45/3600)^4+'sv04'!$V$5*($B45-$R45/3600)^5+'sv04'!$U$5*($B45-$R45/3600)^6+'sv04'!$T$5*($B45-$R45/3600)^7+'sv04'!$S$5*($B45-$R45/3600)^8</f>
        <v>14543.107423870375</v>
      </c>
      <c r="W45">
        <f>coord!$B$6*P45/10^6</f>
        <v>25961.230045415203</v>
      </c>
      <c r="X45">
        <f>SQRT(($T45*1000+coord!$B$7*$R45*$U45*1000-coord!$B$2)^2+($U45*1000-coord!$B$7*$R45*$T45*1000-coord!$C$2)^2+($V45*1000-coord!$D$2)^2)</f>
        <v>21112490.65593994</v>
      </c>
      <c r="Y45" s="3">
        <f>$D45-(X45-$W45)-coord!$E$2</f>
        <v>-11.074499934911728</v>
      </c>
      <c r="Z45" s="3"/>
      <c r="AB45">
        <f>-(T45*1000-coord!$B$2)/$X45</f>
        <v>-0.7900492771384422</v>
      </c>
      <c r="AC45">
        <f>-(U45*1000-coord!$C$2)/$X45</f>
        <v>0.38783632329540307</v>
      </c>
      <c r="AD45">
        <f>-(V45*1000-coord!$D$2)/$X45</f>
        <v>-0.47476725095673572</v>
      </c>
      <c r="AE45">
        <v>1</v>
      </c>
      <c r="AG45">
        <v>1</v>
      </c>
      <c r="AH45">
        <v>1</v>
      </c>
      <c r="AI45">
        <v>1</v>
      </c>
      <c r="AJ45">
        <v>1</v>
      </c>
      <c r="AK45">
        <v>1</v>
      </c>
      <c r="AL45">
        <v>1</v>
      </c>
      <c r="AM45">
        <v>1</v>
      </c>
      <c r="AO45">
        <v>-3.1728417967048337</v>
      </c>
      <c r="AP45">
        <v>2.8592246176774E-2</v>
      </c>
      <c r="AQ45">
        <v>-3.4589323322342285</v>
      </c>
      <c r="AR45">
        <v>7</v>
      </c>
      <c r="AT45">
        <v>1.8200479752089664</v>
      </c>
      <c r="AU45">
        <v>8.41890314173208E-2</v>
      </c>
      <c r="AV45">
        <v>1.7806046664060127</v>
      </c>
      <c r="AW45">
        <v>1.8473297408283205</v>
      </c>
      <c r="AY45">
        <v>-24.04203362390399</v>
      </c>
      <c r="BA45">
        <v>7.3836423253668855</v>
      </c>
      <c r="BD45">
        <f>SQRT(($T45*1000+coord!$B$7*$R45*$U45*1000-coord!$B$2-BA$42)^2+($U45*1000-coord!$B$7*$R45*$T45*1000-coord!$C$2-BA$43)^2+($V45*1000-coord!$D$2-BA$44)^2)</f>
        <v>21112468.757339884</v>
      </c>
      <c r="BE45" s="3">
        <f t="shared" si="22"/>
        <v>3.4404577964888503</v>
      </c>
      <c r="BG45" s="1"/>
      <c r="BH45" s="1"/>
      <c r="BI45" s="1"/>
      <c r="CA45">
        <v>0</v>
      </c>
      <c r="CB45">
        <v>0</v>
      </c>
      <c r="CC45">
        <v>0</v>
      </c>
      <c r="CD45">
        <v>1</v>
      </c>
      <c r="CG45" s="1"/>
      <c r="CH45" s="1"/>
      <c r="CI45" s="1"/>
      <c r="CK45">
        <v>1.8200479752089664</v>
      </c>
      <c r="CL45">
        <v>8.41890314173208E-2</v>
      </c>
      <c r="CM45">
        <v>1.7806046664060127</v>
      </c>
      <c r="CN45">
        <v>1.8473297408283205</v>
      </c>
      <c r="CP45">
        <v>0</v>
      </c>
      <c r="CQ45">
        <v>0</v>
      </c>
      <c r="CR45">
        <v>0</v>
      </c>
      <c r="CS45">
        <v>1</v>
      </c>
      <c r="CU45" s="5">
        <v>-3.0686078926548177E-2</v>
      </c>
      <c r="CV45" s="5">
        <v>-0.29279027033026167</v>
      </c>
      <c r="CW45" s="5">
        <v>2.5305231920020335</v>
      </c>
      <c r="CX45" s="5">
        <v>1.8473297408283205</v>
      </c>
    </row>
    <row r="46" spans="1:111">
      <c r="A46">
        <v>10</v>
      </c>
      <c r="B46">
        <f t="shared" si="20"/>
        <v>0.33333333333333331</v>
      </c>
      <c r="C46">
        <v>20</v>
      </c>
      <c r="D46">
        <f>tetto!D46*coord!$B$13-tetto!G46*coord!$B$14</f>
        <v>22802202.062285535</v>
      </c>
      <c r="E46" s="5">
        <f>90-DEGREES(ACOS((coord!$B$2*($T46*1000-coord!$B$2)+coord!$C$2*($U46*1000-coord!$C$2)+coord!$D$2*($V46*1000-coord!$D$2))/(SQRT(coord!$B$2^2+coord!$C$2^2+coord!$D$2^2)*SQRT(($T46*1000-coord!$B$2)^2+($U46*1000-coord!$C$2)^2+($V46*1000-coord!$D$2)^2))))</f>
        <v>29.642823824766715</v>
      </c>
      <c r="F46">
        <f>(coord!$C$2*($V46*1000-coord!$D$2)-coord!$D$2*($U46*1000-coord!$C$2))/(SQRT(coord!$B$2^2+coord!$C$2^2+coord!$D$2^2)*SQRT(($T46*1000-coord!$B$2)^2+($U46*1000-coord!$C$2)^2+($V46*1000-coord!$D$2)^2))</f>
        <v>-0.62346931170930686</v>
      </c>
      <c r="G46">
        <f>(-coord!$B$2*($V46*1000-coord!$D$2)+coord!$D$2*($T46*1000-coord!$B$2))/(SQRT(coord!$B$2^2+coord!$C$2^2+coord!$D$2^2)*SQRT(($T46*1000-coord!$B$2)^2+($U46*1000-coord!$C$2)^2+($V46*1000-coord!$D$2)^2))</f>
        <v>0.23820133782772687</v>
      </c>
      <c r="H46">
        <f>(coord!$B$2*($U46*1000-coord!$C$2)-coord!$C$2*($T46*1000-coord!$B$2))/(SQRT(coord!$B$2^2+coord!$C$2^2+coord!$D$2^2)*SQRT(($T46*1000-coord!$B$2)^2+($U46*1000-coord!$C$2)^2+($V46*1000-coord!$D$2)^2))</f>
        <v>0.55670933676242185</v>
      </c>
      <c r="I46">
        <f t="shared" si="5"/>
        <v>0.79032606090104374</v>
      </c>
      <c r="J46">
        <f t="shared" si="6"/>
        <v>0.36160312998015587</v>
      </c>
      <c r="K46">
        <f t="shared" si="7"/>
        <v>2.6532006794749985E-3</v>
      </c>
      <c r="L46">
        <f t="shared" si="21"/>
        <v>114.58583061399908</v>
      </c>
      <c r="M46" s="5">
        <f>'sv20'!$AA$3+'sv20'!$Z$3*($B46)+'sv20'!$Y$3*($B46)^2+'sv20'!$X$3*($B46)^3+'sv20'!$W$3*($B46)^4+'sv20'!$V$3*($B46)^5+'sv20'!$U$3*($B46)^6+'sv20'!$T$3*($B46)^7+'sv20'!$S$3*($B46)^8</f>
        <v>14181.463379184861</v>
      </c>
      <c r="N46" s="5">
        <f>'sv20'!$AA$4+'sv20'!$Z$4*($B46)+'sv20'!$Y$4*($B46)^2+'sv20'!$X$4*($B46)^3+'sv20'!$W$4*($B46)^4+'sv20'!$V$4*($B46)^5+'sv20'!$U$4*($B46)^6+'sv20'!$T$4*($B46)^7+'sv20'!$S$4*($B46)^8</f>
        <v>21417.965088376412</v>
      </c>
      <c r="O46" s="5">
        <f>'sv20'!$AA$5+'sv20'!$Z$5*($B46)+'sv20'!$Y$5*($B46)^2+'sv20'!$X$5*($B46)^3+'sv20'!$W$5*($B46)^4+'sv20'!$V$5*($B46)^5+'sv20'!$U$5*($B46)^6+'sv20'!$T$5*($B46)^7+'sv20'!$S$5*($B46)^8</f>
        <v>6717.8727745081169</v>
      </c>
      <c r="P46" s="5">
        <f>'sv20'!$AA$6+'sv20'!$Z$6*$B46+'sv20'!$Y$6*$B46^2+'sv20'!$X$6*$B46^3+'sv20'!$W$6*$B46^4+'sv20'!$V$6*$B46^5+'sv20'!$U$6*$B46^6+'sv20'!$T$6*$B46^7+'sv20'!$S$6*$B46^8</f>
        <v>55.818036172368195</v>
      </c>
      <c r="R46">
        <f>SQRT(($M46*1000-coord!$B$2)^2+($N46*1000-coord!$C$2)^2+($O46*1000-coord!$D$2)^2)/coord!$B$6</f>
        <v>7.6115965471437438E-2</v>
      </c>
      <c r="T46" s="5">
        <f>'sv20'!$AA$3+'sv20'!$Z$3*($B46-$R46/3600)+'sv20'!$Y$3*($B46-$R46/3600)^2+'sv20'!$X$3*($B46-$R46/3600)^3+'sv20'!$W$3*($B46-$R46/3600)^4+'sv20'!$V$3*($B46-$R46/3600)^5+'sv20'!$U$3*($B46-$R46/3600)^6+'sv20'!$T$3*($B46-$R46/3600)^7+'sv20'!$S$3*($B46-$R46/3600)^8+N46*coord!$B$7*R46</f>
        <v>14181.580533412891</v>
      </c>
      <c r="U46" s="5">
        <f>'sv20'!$AA$4+'sv20'!$Z$4*($B46-$R46/3600)+'sv20'!$Y$4*($B46-$R46/3600)^2+'sv20'!$X$4*($B46-$R46/3600)^3+'sv20'!$W$4*($B46-$R46/3600)^4+'sv20'!$V$4*($B46-$R46/3600)^5+'sv20'!$U$4*($B46-$R46/3600)^6+'sv20'!$T$4*($B46-$R46/3600)^7+'sv20'!$S$4*($B46-$R46/3600)^8-M46*coord!$B$7*R46</f>
        <v>21417.815243617741</v>
      </c>
      <c r="V46" s="5">
        <f>'sv20'!$AA$5+'sv20'!$Z$5*($B46-$R46/3600)+'sv20'!$Y$5*($B46-$R46/3600)^2+'sv20'!$X$5*($B46-$R46/3600)^3+'sv20'!$W$5*($B46-$R46/3600)^4+'sv20'!$V$5*($B46-$R46/3600)^5+'sv20'!$U$5*($B46-$R46/3600)^6+'sv20'!$T$5*($B46-$R46/3600)^7+'sv20'!$S$5*($B46-$R46/3600)^8</f>
        <v>6718.0982296625034</v>
      </c>
      <c r="W46">
        <f>coord!$B$6*P46/10^6</f>
        <v>16733.826264847175</v>
      </c>
      <c r="X46">
        <f>SQRT(($T46*1000+coord!$B$7*$R46*$U46*1000-coord!$B$2)^2+($U46*1000-coord!$B$7*$R46*$T46*1000-coord!$C$2)^2+($V46*1000-coord!$D$2)^2)</f>
        <v>22818910.130597539</v>
      </c>
      <c r="Y46" s="3">
        <f>$D46-(X46-$W46)-coord!$E$2</f>
        <v>25.757952842861414</v>
      </c>
      <c r="Z46" s="3"/>
      <c r="AB46">
        <f>-(T46*1000-coord!$B$2)/$X46</f>
        <v>-0.42914855733981794</v>
      </c>
      <c r="AC46">
        <f>-(U46*1000-coord!$C$2)/$X46</f>
        <v>-0.89808167494111169</v>
      </c>
      <c r="AD46">
        <f>-(V46*1000-coord!$D$2)/$X46</f>
        <v>-9.6345966690782214E-2</v>
      </c>
      <c r="AE46">
        <v>1</v>
      </c>
      <c r="BD46">
        <f>SQRT(($T46*1000+coord!$B$7*$R46*$U46*1000-coord!$B$2-BA$42)^2+($U46*1000-coord!$B$7*$R46*$T46*1000-coord!$C$2-BA$43)^2+($V46*1000-coord!$D$2-BA$44)^2)</f>
        <v>22818924.732613359</v>
      </c>
      <c r="BE46" s="3">
        <f t="shared" si="22"/>
        <v>3.7722946980939795</v>
      </c>
      <c r="BG46" s="1"/>
      <c r="BH46" s="1"/>
      <c r="BI46" s="1"/>
      <c r="CG46" s="1"/>
      <c r="CH46" s="1"/>
      <c r="CI46" s="1"/>
    </row>
    <row r="47" spans="1:111">
      <c r="A47">
        <v>10</v>
      </c>
      <c r="B47">
        <f t="shared" si="20"/>
        <v>0.33333333333333331</v>
      </c>
      <c r="C47">
        <v>13</v>
      </c>
      <c r="D47">
        <f>tetto!D47*coord!$B$13-tetto!G47*coord!$B$14</f>
        <v>20088482.605836414</v>
      </c>
      <c r="E47" s="5">
        <f>90-DEGREES(ACOS((coord!$B$2*($T47*1000-coord!$B$2)+coord!$C$2*($U47*1000-coord!$C$2)+coord!$D$2*($V47*1000-coord!$D$2))/(SQRT(coord!$B$2^2+coord!$C$2^2+coord!$D$2^2)*SQRT(($T47*1000-coord!$B$2)^2+($U47*1000-coord!$C$2)^2+($V47*1000-coord!$D$2)^2))))</f>
        <v>78.649816343955237</v>
      </c>
      <c r="F47">
        <f>(coord!$C$2*($V47*1000-coord!$D$2)-coord!$D$2*($U47*1000-coord!$C$2))/(SQRT(coord!$B$2^2+coord!$C$2^2+coord!$D$2^2)*SQRT(($T47*1000-coord!$B$2)^2+($U47*1000-coord!$C$2)^2+($V47*1000-coord!$D$2)^2))</f>
        <v>6.5530250598110412E-3</v>
      </c>
      <c r="G47">
        <f>(-coord!$B$2*($V47*1000-coord!$D$2)+coord!$D$2*($T47*1000-coord!$B$2))/(SQRT(coord!$B$2^2+coord!$C$2^2+coord!$D$2^2)*SQRT(($T47*1000-coord!$B$2)^2+($U47*1000-coord!$C$2)^2+($V47*1000-coord!$D$2)^2))</f>
        <v>-0.19385760003826752</v>
      </c>
      <c r="H47">
        <f>(coord!$B$2*($U47*1000-coord!$C$2)-coord!$C$2*($T47*1000-coord!$B$2))/(SQRT(coord!$B$2^2+coord!$C$2^2+coord!$D$2^2)*SQRT(($T47*1000-coord!$B$2)^2+($U47*1000-coord!$C$2)^2+($V47*1000-coord!$D$2)^2))</f>
        <v>3.3293858826867792E-2</v>
      </c>
      <c r="I47">
        <f t="shared" si="5"/>
        <v>4.7264469097882664E-2</v>
      </c>
      <c r="J47">
        <f t="shared" si="6"/>
        <v>-0.19104511719786799</v>
      </c>
      <c r="K47">
        <f t="shared" si="7"/>
        <v>1.5944078208991047E-4</v>
      </c>
      <c r="L47">
        <f t="shared" si="21"/>
        <v>13.89592552627596</v>
      </c>
      <c r="M47" s="5">
        <f>'sv13'!$AA$3+'sv13'!$Z$3*($B47)+'sv13'!$Y$3*($B47)^2+'sv13'!$X$3*($B47)^3+'sv13'!$W$3*($B47)^4+'sv13'!$V$3*($B47)^5+'sv13'!$U$3*($B47)^6+'sv13'!$T$3*($B47)^7+'sv13'!$S$3*($B47)^8</f>
        <v>15151.738256890678</v>
      </c>
      <c r="N47" s="5">
        <f>'sv13'!$AA$4+'sv13'!$Z$4*($B47)+'sv13'!$Y$4*($B47)^2+'sv13'!$X$4*($B47)^3+'sv13'!$W$4*($B47)^4+'sv13'!$V$4*($B47)^5+'sv13'!$U$4*($B47)^6+'sv13'!$T$4*($B47)^7+'sv13'!$S$4*($B47)^8</f>
        <v>4166.8734525127247</v>
      </c>
      <c r="O47" s="5">
        <f>'sv13'!$AA$5+'sv13'!$Z$5*($B47)+'sv13'!$Y$5*($B47)^2+'sv13'!$X$5*($B47)^3+'sv13'!$W$5*($B47)^4+'sv13'!$V$5*($B47)^5+'sv13'!$U$5*($B47)^6+'sv13'!$T$5*($B47)^7+'sv13'!$S$5*($B47)^8</f>
        <v>21278.719767728369</v>
      </c>
      <c r="P47" s="5">
        <f>'sv13'!$AA$6+'sv13'!$Z$6*$B47+'sv13'!$Y$6*$B47^2+'sv13'!$X$6*$B47^3+'sv13'!$W$6*$B47^4+'sv13'!$V$6*$B47^5+'sv13'!$U$6*$B47^6+'sv13'!$T$6*$B47^7+'sv13'!$S$6*$B47^8</f>
        <v>304.21959081048681</v>
      </c>
      <c r="R47">
        <f>SQRT(($M47*1000-coord!$B$2)^2+($N47*1000-coord!$C$2)^2+($O47*1000-coord!$D$2)^2)/coord!$B$6</f>
        <v>6.7312224119287944E-2</v>
      </c>
      <c r="T47" s="5">
        <f>'sv13'!$AA$3+'sv13'!$Z$3*($B47-$R47/3600)+'sv13'!$Y$3*($B47-$R47/3600)^2+'sv13'!$X$3*($B47-$R47/3600)^3+'sv13'!$W$3*($B47-$R47/3600)^4+'sv13'!$V$3*($B47-$R47/3600)^5+'sv13'!$U$3*($B47-$R47/3600)^6+'sv13'!$T$3*($B47-$R47/3600)^7+'sv13'!$S$3*($B47-$R47/3600)^8+N47*coord!$B$7*R47</f>
        <v>15151.8820768147</v>
      </c>
      <c r="U47" s="5">
        <f>'sv13'!$AA$4+'sv13'!$Z$4*($B47-$R47/3600)+'sv13'!$Y$4*($B47-$R47/3600)^2+'sv13'!$X$4*($B47-$R47/3600)^3+'sv13'!$W$4*($B47-$R47/3600)^4+'sv13'!$V$4*($B47-$R47/3600)^5+'sv13'!$U$4*($B47-$R47/3600)^6+'sv13'!$T$4*($B47-$R47/3600)^7+'sv13'!$S$4*($B47-$R47/3600)^8-M47*coord!$B$7*R47</f>
        <v>4166.6632403272042</v>
      </c>
      <c r="V47" s="5">
        <f>'sv13'!$AA$5+'sv13'!$Z$5*($B47-$R47/3600)+'sv13'!$Y$5*($B47-$R47/3600)^2+'sv13'!$X$5*($B47-$R47/3600)^3+'sv13'!$W$5*($B47-$R47/3600)^4+'sv13'!$V$5*($B47-$R47/3600)^5+'sv13'!$U$5*($B47-$R47/3600)^6+'sv13'!$T$5*($B47-$R47/3600)^7+'sv13'!$S$5*($B47-$R47/3600)^8</f>
        <v>21278.65912656311</v>
      </c>
      <c r="W47">
        <f>coord!$B$6*P47/10^6</f>
        <v>91202.738900830052</v>
      </c>
      <c r="X47">
        <f>SQRT(($T47*1000+coord!$B$7*$R47*$U47*1000-coord!$B$2)^2+($U47*1000-coord!$B$7*$R47*$T47*1000-coord!$C$2)^2+($V47*1000-coord!$D$2)^2)</f>
        <v>20179688.65264222</v>
      </c>
      <c r="Y47" s="3">
        <f>$D47-(X47-$W47)-coord!$E$2</f>
        <v>-3.3079049773514271</v>
      </c>
      <c r="Z47" s="3"/>
      <c r="AB47">
        <f>-(T47*1000-coord!$B$2)/$X47</f>
        <v>-0.53335827382081291</v>
      </c>
      <c r="AC47">
        <f>-(U47*1000-coord!$C$2)/$X47</f>
        <v>-0.16066120161386641</v>
      </c>
      <c r="AD47">
        <f>-(V47*1000-coord!$D$2)/$X47</f>
        <v>-0.83049204280308686</v>
      </c>
      <c r="AE47">
        <v>1</v>
      </c>
      <c r="BD47">
        <f>SQRT(($T47*1000+coord!$B$7*$R47*$U47*1000-coord!$B$2-BA$42)^2+($U47*1000-coord!$B$7*$R47*$T47*1000-coord!$C$2-BA$43)^2+($V47*1000-coord!$D$2-BA$44)^2)</f>
        <v>20179676.13421528</v>
      </c>
      <c r="BE47" s="3">
        <f t="shared" si="22"/>
        <v>1.8268796371267726</v>
      </c>
      <c r="BG47" s="1"/>
      <c r="BH47" s="1"/>
      <c r="BI47" s="1"/>
      <c r="CG47" s="1"/>
      <c r="CH47" s="1"/>
      <c r="CI47" s="1"/>
    </row>
    <row r="48" spans="1:111">
      <c r="A48">
        <v>10</v>
      </c>
      <c r="B48">
        <f t="shared" si="20"/>
        <v>0.33333333333333331</v>
      </c>
      <c r="C48">
        <v>7</v>
      </c>
      <c r="D48">
        <f>tetto!D48*coord!$B$13-tetto!G48*coord!$B$14</f>
        <v>22064940.009504512</v>
      </c>
      <c r="E48" s="5">
        <f>90-DEGREES(ACOS((coord!$B$2*($T48*1000-coord!$B$2)+coord!$C$2*($U48*1000-coord!$C$2)+coord!$D$2*($V48*1000-coord!$D$2))/(SQRT(coord!$B$2^2+coord!$C$2^2+coord!$D$2^2)*SQRT(($T48*1000-coord!$B$2)^2+($U48*1000-coord!$C$2)^2+($V48*1000-coord!$D$2)^2))))</f>
        <v>40.607700331765272</v>
      </c>
      <c r="F48">
        <f>(coord!$C$2*($V48*1000-coord!$D$2)-coord!$D$2*($U48*1000-coord!$C$2))/(SQRT(coord!$B$2^2+coord!$C$2^2+coord!$D$2^2)*SQRT(($T48*1000-coord!$B$2)^2+($U48*1000-coord!$C$2)^2+($V48*1000-coord!$D$2)^2))</f>
        <v>-0.18533989794052896</v>
      </c>
      <c r="G48">
        <f>(-coord!$B$2*($V48*1000-coord!$D$2)+coord!$D$2*($T48*1000-coord!$B$2))/(SQRT(coord!$B$2^2+coord!$C$2^2+coord!$D$2^2)*SQRT(($T48*1000-coord!$B$2)^2+($U48*1000-coord!$C$2)^2+($V48*1000-coord!$D$2)^2))</f>
        <v>0.73562173249488672</v>
      </c>
      <c r="H48">
        <f>(coord!$B$2*($U48*1000-coord!$C$2)-coord!$C$2*($T48*1000-coord!$B$2))/(SQRT(coord!$B$2^2+coord!$C$2^2+coord!$D$2^2)*SQRT(($T48*1000-coord!$B$2)^2+($U48*1000-coord!$C$2)^2+($V48*1000-coord!$D$2)^2))</f>
        <v>2.9493901238776522E-2</v>
      </c>
      <c r="I48">
        <f t="shared" si="5"/>
        <v>4.1873383088035912E-2</v>
      </c>
      <c r="J48">
        <f t="shared" si="6"/>
        <v>0.75802816706904619</v>
      </c>
      <c r="K48">
        <f t="shared" si="7"/>
        <v>1.3789986189404607E-4</v>
      </c>
      <c r="L48">
        <f t="shared" si="21"/>
        <v>176.83820156288073</v>
      </c>
      <c r="M48" s="5">
        <f>'sv07'!$AA$3+'sv07'!$Z$3*($B48)+'sv07'!$Y$3*($B48)^2+'sv07'!$X$3*($B48)^3+'sv07'!$W$3*($B48)^4+'sv07'!$V$3*($B48)^5+'sv07'!$U$3*($B48)^6+'sv07'!$T$3*($B48)^7+'sv07'!$S$3*($B48)^8</f>
        <v>25714.271225155739</v>
      </c>
      <c r="N48" s="5">
        <f>'sv07'!$AA$4+'sv07'!$Z$4*($B48)+'sv07'!$Y$4*($B48)^2+'sv07'!$X$4*($B48)^3+'sv07'!$W$4*($B48)^4+'sv07'!$V$4*($B48)^5+'sv07'!$U$4*($B48)^6+'sv07'!$T$4*($B48)^7+'sv07'!$S$4*($B48)^8</f>
        <v>6361.3328247492254</v>
      </c>
      <c r="O48" s="5">
        <f>'sv07'!$AA$5+'sv07'!$Z$5*($B48)+'sv07'!$Y$5*($B48)^2+'sv07'!$X$5*($B48)^3+'sv07'!$W$5*($B48)^4+'sv07'!$V$5*($B48)^5+'sv07'!$U$5*($B48)^6+'sv07'!$T$5*($B48)^7+'sv07'!$S$5*($B48)^8</f>
        <v>2931.9608948036257</v>
      </c>
      <c r="P48" s="5">
        <f>'sv07'!$AA$6+'sv07'!$Z$6*$B48+'sv07'!$Y$6*$B48^2+'sv07'!$X$6*$B48^3+'sv07'!$W$6*$B48^4+'sv07'!$V$6*$B48^5+'sv07'!$U$6*$B48^6+'sv07'!$T$6*$B48^7+'sv07'!$S$6*$B48^8</f>
        <v>-0.63764111343826102</v>
      </c>
      <c r="R48">
        <f>SQRT(($M48*1000-coord!$B$2)^2+($N48*1000-coord!$C$2)^2+($O48*1000-coord!$D$2)^2)/coord!$B$6</f>
        <v>7.3599943461346781E-2</v>
      </c>
      <c r="T48" s="5">
        <f>'sv07'!$AA$3+'sv07'!$Z$3*($B48-$R48/3600)+'sv07'!$Y$3*($B48-$R48/3600)^2+'sv07'!$X$3*($B48-$R48/3600)^3+'sv07'!$W$3*($B48-$R48/3600)^4+'sv07'!$V$3*($B48-$R48/3600)^5+'sv07'!$U$3*($B48-$R48/3600)^6+'sv07'!$T$3*($B48-$R48/3600)^7+'sv07'!$S$3*($B48-$R48/3600)^8+N48*coord!$B$7*R48</f>
        <v>25714.335155437249</v>
      </c>
      <c r="U48" s="5">
        <f>'sv07'!$AA$4+'sv07'!$Z$4*($B48-$R48/3600)+'sv07'!$Y$4*($B48-$R48/3600)^2+'sv07'!$X$4*($B48-$R48/3600)^3+'sv07'!$W$4*($B48-$R48/3600)^4+'sv07'!$V$4*($B48-$R48/3600)^5+'sv07'!$U$4*($B48-$R48/3600)^6+'sv07'!$T$4*($B48-$R48/3600)^7+'sv07'!$S$4*($B48-$R48/3600)^8-M48*coord!$B$7*R48</f>
        <v>6361.1825761001974</v>
      </c>
      <c r="V48" s="5">
        <f>'sv07'!$AA$5+'sv07'!$Z$5*($B48-$R48/3600)+'sv07'!$Y$5*($B48-$R48/3600)^2+'sv07'!$X$5*($B48-$R48/3600)^3+'sv07'!$W$5*($B48-$R48/3600)^4+'sv07'!$V$5*($B48-$R48/3600)^5+'sv07'!$U$5*($B48-$R48/3600)^6+'sv07'!$T$5*($B48-$R48/3600)^7+'sv07'!$S$5*($B48-$R48/3600)^8</f>
        <v>2931.7283349582576</v>
      </c>
      <c r="W48">
        <f>coord!$B$6*P48/10^6</f>
        <v>-191.15999671951309</v>
      </c>
      <c r="X48">
        <f>SQRT(($T48*1000+coord!$B$7*$R48*$U48*1000-coord!$B$2)^2+($U48*1000-coord!$B$7*$R48*$T48*1000-coord!$C$2)^2+($V48*1000-coord!$D$2)^2)</f>
        <v>22064748.453501839</v>
      </c>
      <c r="Y48" s="3">
        <f>$D48-(X48-$W48)-coord!$E$2</f>
        <v>0.39600595459342003</v>
      </c>
      <c r="Z48" s="3" t="s">
        <v>127</v>
      </c>
      <c r="AA48" s="1" t="s">
        <v>128</v>
      </c>
      <c r="AB48">
        <f>-(T48*1000-coord!$B$2)/$X48</f>
        <v>-0.96649445288612579</v>
      </c>
      <c r="AC48">
        <f>-(U48*1000-coord!$C$2)/$X48</f>
        <v>-0.24639357998379388</v>
      </c>
      <c r="AD48">
        <f>-(V48*1000-coord!$D$2)/$X48</f>
        <v>7.1963654726810947E-2</v>
      </c>
      <c r="AE48">
        <v>1</v>
      </c>
      <c r="BD48">
        <f>SQRT(($T48*1000+coord!$B$7*$R48*$U48*1000-coord!$B$2-BA$42)^2+($U48*1000-coord!$B$7*$R48*$T48*1000-coord!$C$2-BA$43)^2+($V48*1000-coord!$D$2-BA$44)^2)</f>
        <v>22064746.396545228</v>
      </c>
      <c r="BE48" s="3">
        <f t="shared" si="22"/>
        <v>-4.9306797591997693</v>
      </c>
      <c r="BF48" s="3" t="s">
        <v>127</v>
      </c>
      <c r="BG48" s="1" t="s">
        <v>128</v>
      </c>
      <c r="BH48" s="1"/>
      <c r="BI48" s="1"/>
      <c r="CG48" s="1"/>
      <c r="CH48" s="1"/>
      <c r="CI48" s="1"/>
    </row>
    <row r="49" spans="1:111">
      <c r="Y49" s="3"/>
      <c r="Z49" s="3">
        <f>AVERAGE($Y42:$Y48)</f>
        <v>-3.4345762319862843</v>
      </c>
      <c r="AA49" s="1">
        <f>SQRT(DEVSQ($Y42:$Y48)/6)</f>
        <v>15.944884132714938</v>
      </c>
      <c r="BE49" s="3"/>
      <c r="BF49" s="3">
        <f>AVERAGE($BE42:$BE48)</f>
        <v>6.7059559842367177E-5</v>
      </c>
      <c r="BG49" s="1">
        <f>SQRT(DEVSQ($BE42:$BE48)/6)</f>
        <v>4.4439425784807369</v>
      </c>
      <c r="BH49" s="1"/>
      <c r="BI49" s="1"/>
      <c r="CG49" s="1"/>
      <c r="CH49" s="1"/>
      <c r="CI49" s="1"/>
    </row>
    <row r="50" spans="1:111">
      <c r="A50">
        <v>12</v>
      </c>
      <c r="B50">
        <f t="shared" ref="B50:B56" si="23">(60-45)/60+30*A50/3600</f>
        <v>0.35</v>
      </c>
      <c r="C50">
        <v>2</v>
      </c>
      <c r="D50">
        <f>tetto!D50*coord!$B$13-tetto!G50*coord!$B$14</f>
        <v>22759747.100565046</v>
      </c>
      <c r="E50" s="5">
        <f>90-DEGREES(ACOS((coord!$B$2*($T50*1000-coord!$B$2)+coord!$C$2*($U50*1000-coord!$C$2)+coord!$D$2*($V50*1000-coord!$D$2))/(SQRT(coord!$B$2^2+coord!$C$2^2+coord!$D$2^2)*SQRT(($T50*1000-coord!$B$2)^2+($U50*1000-coord!$C$2)^2+($V50*1000-coord!$D$2)^2))))</f>
        <v>28.773189696883961</v>
      </c>
      <c r="F50">
        <f>(coord!$C$2*($V50*1000-coord!$D$2)-coord!$D$2*($U50*1000-coord!$C$2))/(SQRT(coord!$B$2^2+coord!$C$2^2+coord!$D$2^2)*SQRT(($T50*1000-coord!$B$2)^2+($U50*1000-coord!$C$2)^2+($V50*1000-coord!$D$2)^2))</f>
        <v>0.58884751047344719</v>
      </c>
      <c r="G50">
        <f>(-coord!$B$2*($V50*1000-coord!$D$2)+coord!$D$2*($T50*1000-coord!$B$2))/(SQRT(coord!$B$2^2+coord!$C$2^2+coord!$D$2^2)*SQRT(($T50*1000-coord!$B$2)^2+($U50*1000-coord!$C$2)^2+($V50*1000-coord!$D$2)^2))</f>
        <v>-0.43383402485809236</v>
      </c>
      <c r="H50">
        <f>(coord!$B$2*($U50*1000-coord!$C$2)-coord!$C$2*($T50*1000-coord!$B$2))/(SQRT(coord!$B$2^2+coord!$C$2^2+coord!$D$2^2)*SQRT(($T50*1000-coord!$B$2)^2+($U50*1000-coord!$C$2)^2+($V50*1000-coord!$D$2)^2))</f>
        <v>-0.48306833173393976</v>
      </c>
      <c r="I50">
        <f t="shared" si="5"/>
        <v>-0.68578329700573126</v>
      </c>
      <c r="J50">
        <f t="shared" si="6"/>
        <v>-0.54589773579129852</v>
      </c>
      <c r="K50">
        <f t="shared" si="7"/>
        <v>-2.3014007566678485E-3</v>
      </c>
      <c r="L50">
        <f t="shared" ref="L50:L56" si="24">90+DEGREES(ATAN2(I50,J50))</f>
        <v>-51.47948265160548</v>
      </c>
      <c r="M50" s="5">
        <f>'sv02'!$AA$3+'sv02'!$Z$3*($B50)+'sv02'!$Y$3*($B50)^2+'sv02'!$X$3*($B50)^3+'sv02'!$W$3*($B50)^4+'sv02'!$V$3*($B50)^5+'sv02'!$U$3*($B50)^6+'sv02'!$T$3*($B50)^7+'sv02'!$S$3*($B50)^8</f>
        <v>6535.4874500267388</v>
      </c>
      <c r="N50" s="5">
        <f>'sv02'!$AA$4+'sv02'!$Z$4*($B50)+'sv02'!$Y$4*($B50)^2+'sv02'!$X$4*($B50)^3+'sv02'!$W$4*($B50)^4+'sv02'!$V$4*($B50)^5+'sv02'!$U$4*($B50)^6+'sv02'!$T$4*($B50)^7+'sv02'!$S$4*($B50)^8</f>
        <v>-14628.20796373102</v>
      </c>
      <c r="O50" s="5">
        <f>'sv02'!$AA$5+'sv02'!$Z$5*($B50)+'sv02'!$Y$5*($B50)^2+'sv02'!$X$5*($B50)^3+'sv02'!$W$5*($B50)^4+'sv02'!$V$5*($B50)^5+'sv02'!$U$5*($B50)^6+'sv02'!$T$5*($B50)^7+'sv02'!$S$5*($B50)^8</f>
        <v>21103.56445851938</v>
      </c>
      <c r="P50" s="5">
        <f>'sv02'!$AA$6+'sv02'!$Z$6*$B50+'sv02'!$Y$6*$B50^2+'sv02'!$X$6*$B50^3+'sv02'!$W$6*$B50^4+'sv02'!$V$6*$B50^5+'sv02'!$U$6*$B50^6+'sv02'!$T$6*$B50^7+'sv02'!$S$6*$B50^8</f>
        <v>257.59095938876112</v>
      </c>
      <c r="R50">
        <f>SQRT(($M50*1000-coord!$B$2)^2+($N50*1000-coord!$C$2)^2+($O50*1000-coord!$D$2)^2)/coord!$B$6</f>
        <v>7.6175779548195183E-2</v>
      </c>
      <c r="T50" s="5">
        <f>'sv02'!$AA$3+'sv02'!$Z$3*($B50-$R50/3600)+'sv02'!$Y$3*($B50-$R50/3600)^2+'sv02'!$X$3*($B50-$R50/3600)^3+'sv02'!$W$3*($B50-$R50/3600)^4+'sv02'!$V$3*($B50-$R50/3600)^5+'sv02'!$U$3*($B50-$R50/3600)^6+'sv02'!$T$3*($B50-$R50/3600)^7+'sv02'!$S$3*($B50-$R50/3600)^8+N50*coord!$B$7*R50</f>
        <v>6535.2035206490082</v>
      </c>
      <c r="U50" s="5">
        <f>'sv02'!$AA$4+'sv02'!$Z$4*($B50-$R50/3600)+'sv02'!$Y$4*($B50-$R50/3600)^2+'sv02'!$X$4*($B50-$R50/3600)^3+'sv02'!$W$4*($B50-$R50/3600)^4+'sv02'!$V$4*($B50-$R50/3600)^5+'sv02'!$U$4*($B50-$R50/3600)^6+'sv02'!$T$4*($B50-$R50/3600)^7+'sv02'!$S$4*($B50-$R50/3600)^8-M50*coord!$B$7*R50</f>
        <v>-14628.279710123983</v>
      </c>
      <c r="V50" s="5">
        <f>'sv02'!$AA$5+'sv02'!$Z$5*($B50-$R50/3600)+'sv02'!$Y$5*($B50-$R50/3600)^2+'sv02'!$X$5*($B50-$R50/3600)^3+'sv02'!$W$5*($B50-$R50/3600)^4+'sv02'!$V$5*($B50-$R50/3600)^5+'sv02'!$U$5*($B50-$R50/3600)^6+'sv02'!$T$5*($B50-$R50/3600)^7+'sv02'!$S$5*($B50-$R50/3600)^8</f>
        <v>21103.606088960853</v>
      </c>
      <c r="W50">
        <f>coord!$B$6*P50/10^6</f>
        <v>77223.826873734884</v>
      </c>
      <c r="X50">
        <f>SQRT(($T50*1000+coord!$B$7*$R50*$U50*1000-coord!$B$2)^2+($U50*1000-coord!$B$7*$R50*$T50*1000-coord!$C$2)^2+($V50*1000-coord!$D$2)^2)</f>
        <v>22836993.683845446</v>
      </c>
      <c r="Y50" s="3">
        <f>$D50-(X50-$W50)-coord!$E$2</f>
        <v>-22.756406664848328</v>
      </c>
      <c r="Z50" s="3"/>
      <c r="AB50">
        <f>-(T50*1000-coord!$B$2)/$X50</f>
        <v>-9.3984583941418134E-2</v>
      </c>
      <c r="AC50">
        <f>-(U50*1000-coord!$C$2)/$X50</f>
        <v>0.68103753666691424</v>
      </c>
      <c r="AD50">
        <f>-(V50*1000-coord!$D$2)/$X50</f>
        <v>-0.72619093582322725</v>
      </c>
      <c r="AE50">
        <v>1</v>
      </c>
      <c r="AG50">
        <f t="array" ref="AG50:AM53">TRANSPOSE(AB50:AE56)</f>
        <v>-9.3984583941418134E-2</v>
      </c>
      <c r="AH50">
        <v>-0.22740667968442146</v>
      </c>
      <c r="AI50">
        <v>-0.13685814261922771</v>
      </c>
      <c r="AJ50">
        <v>-0.79484325529275524</v>
      </c>
      <c r="AK50">
        <v>-0.42856430245958232</v>
      </c>
      <c r="AL50">
        <v>-0.52776048805466913</v>
      </c>
      <c r="AM50">
        <v>-0.96687565947160892</v>
      </c>
      <c r="AO50">
        <f t="array" ref="AO50:AR53">MMULT(AG50:AM53,AB50:AE56)</f>
        <v>2.1080998866423331</v>
      </c>
      <c r="AP50">
        <v>0.35526243818521552</v>
      </c>
      <c r="AQ50">
        <v>1.1222891848344723</v>
      </c>
      <c r="AR50">
        <v>-3.176293111523683</v>
      </c>
      <c r="AT50">
        <f t="array" ref="AT50:AW53">MINVERSE(AO50:AR53)</f>
        <v>2.4947075389600353</v>
      </c>
      <c r="AU50">
        <v>-7.3964552910247491E-2</v>
      </c>
      <c r="AV50">
        <v>1.4257575614910192</v>
      </c>
      <c r="AW50">
        <v>1.8363947971226469</v>
      </c>
      <c r="AY50">
        <f t="array" ref="AY50:AY53">MMULT(AG50:AM53,Y50:Y56)</f>
        <v>0.27434229200082716</v>
      </c>
      <c r="BA50">
        <f t="array" ref="BA50:BA53">MMULT(AT50:AW53,AY50:AY53)</f>
        <v>8.1442759408393783</v>
      </c>
      <c r="BD50">
        <f>SQRT(($T50*1000+coord!$B$7*$R50*$U50*1000-coord!$B$2-BA$50)^2+($U50*1000-coord!$B$7*$R50*$T50*1000-coord!$C$2-BA$51)^2+($V50*1000-coord!$D$2-BA$52)^2)</f>
        <v>22836968.682085656</v>
      </c>
      <c r="BE50" s="3">
        <f>$D50-(BD50-$W50)-BA$53</f>
        <v>-5.2022157362442982</v>
      </c>
      <c r="BG50" s="1">
        <f>coord!$B$2+$BA50</f>
        <v>4388886.3150759414</v>
      </c>
      <c r="BH50" s="1">
        <f>coord!$C$2+$BA51</f>
        <v>924548.40929147881</v>
      </c>
      <c r="BI50" s="1">
        <f>coord!$D$2+$BA52</f>
        <v>4519601.2007067362</v>
      </c>
      <c r="BJ50" s="1">
        <f>coord!$E$2+$BA53</f>
        <v>7.447568861280061</v>
      </c>
      <c r="BK50" s="8">
        <f>lat($BG50,$BH50,$BI50)</f>
        <v>45.411230658338091</v>
      </c>
      <c r="BL50" s="8">
        <f>lon($BG50,$BH50,$BI50)</f>
        <v>11.89581253617289</v>
      </c>
      <c r="BM50" s="6">
        <f>h($BG50,$BH50,$BI50)</f>
        <v>73.766261655837297</v>
      </c>
      <c r="BO50">
        <f>grado($BK50)</f>
        <v>45</v>
      </c>
      <c r="BP50">
        <f>MINUTOprimo($BK50)</f>
        <v>24</v>
      </c>
      <c r="BQ50">
        <f>MINUTOsecondo($BK50)</f>
        <v>40.430370017128894</v>
      </c>
      <c r="BR50">
        <f>grado($BL50)</f>
        <v>11</v>
      </c>
      <c r="BS50">
        <f>MINUTOprimo($BL50)</f>
        <v>53</v>
      </c>
      <c r="BT50">
        <f>MINUTOsecondo($BL50)</f>
        <v>44.925130222405301</v>
      </c>
      <c r="BV50">
        <f>-SIN(RADIANS(BK50))*COS(RADIANS(BL50))</f>
        <v>-0.69686927358444073</v>
      </c>
      <c r="BW50">
        <f>-SIN(RADIANS(BL50))</f>
        <v>-0.20613267048638231</v>
      </c>
      <c r="BX50">
        <f>COS(RADIANS(BK50))*COS(RADIANS(BL50))</f>
        <v>0.68693706967381407</v>
      </c>
      <c r="BZ50" t="s">
        <v>93</v>
      </c>
      <c r="CA50">
        <f t="array" ref="CA50:CC52">MINVERSE(BV50:BX52)</f>
        <v>-0.69686927358444073</v>
      </c>
      <c r="CB50">
        <v>-0.14680019761810825</v>
      </c>
      <c r="CC50">
        <v>0.70201347388292934</v>
      </c>
      <c r="CD50">
        <v>0</v>
      </c>
      <c r="CE50" s="1">
        <f t="array" ref="CE50:CE52">MMULT(CA50:CC52,BA50:BA52)</f>
        <v>6.599834118953777</v>
      </c>
      <c r="CG50" s="1">
        <f t="array" ref="CG50:CI50">TRANSPOSE(CE50:CE52)</f>
        <v>6.599834118953777</v>
      </c>
      <c r="CH50" s="1">
        <v>-23.014450284680244</v>
      </c>
      <c r="CI50" s="1">
        <v>11.64512413914969</v>
      </c>
      <c r="CK50">
        <f t="array" ref="CK50:CN53">MMULT(CA50:CD53,AT50:AW53)</f>
        <v>-0.72672600083958305</v>
      </c>
      <c r="CL50">
        <v>0.1744558701259539</v>
      </c>
      <c r="CM50">
        <v>0.61537566138360522</v>
      </c>
      <c r="CN50">
        <v>-2.5984585285355077E-2</v>
      </c>
      <c r="CP50">
        <f t="array" ref="CP50:CS53">TRANSPOSE(CA50:CD53)</f>
        <v>-0.69686927358444073</v>
      </c>
      <c r="CQ50">
        <v>-0.20613267048638234</v>
      </c>
      <c r="CR50">
        <v>0.68693706967381407</v>
      </c>
      <c r="CS50">
        <v>0</v>
      </c>
      <c r="CU50" s="5">
        <f t="array" ref="CU50:CX53">MMULT(CK50:CN53,CP50:CS53)</f>
        <v>0.91282486988078682</v>
      </c>
      <c r="CV50" s="5">
        <v>0.32051123635763801</v>
      </c>
      <c r="CW50" s="5">
        <v>-3.5721699800401741E-2</v>
      </c>
      <c r="CX50" s="5">
        <v>-2.5984585285355077E-2</v>
      </c>
      <c r="CZ50" s="3">
        <f>SQRT(CU50+CV51)</f>
        <v>1.2280448118615266</v>
      </c>
      <c r="DA50" s="3">
        <f>CW52</f>
        <v>3.8159212509623881</v>
      </c>
      <c r="DB50" s="3">
        <f>CX53</f>
        <v>1.8687625050099654</v>
      </c>
      <c r="DC50" s="3">
        <f>BG57</f>
        <v>3.9057644289146394</v>
      </c>
      <c r="DD50">
        <v>6</v>
      </c>
      <c r="DE50" s="6">
        <f>DB50*DD50*DC50</f>
        <v>43.793676708944027</v>
      </c>
      <c r="DF50">
        <v>5.33</v>
      </c>
      <c r="DG50" s="6">
        <f>DC50*DF50*SQRT(0.5*(CU50+CV51)+SQRT((0.5*(CU50-CV51))^2+CV50^2))</f>
        <v>21.949929097526045</v>
      </c>
    </row>
    <row r="51" spans="1:111">
      <c r="A51">
        <v>12</v>
      </c>
      <c r="B51">
        <f t="shared" si="23"/>
        <v>0.35</v>
      </c>
      <c r="C51">
        <v>23</v>
      </c>
      <c r="D51">
        <f>tetto!D51*coord!$B$13-tetto!G51*coord!$B$14</f>
        <v>20974798.689905971</v>
      </c>
      <c r="E51" s="5">
        <f>90-DEGREES(ACOS((coord!$B$2*($T51*1000-coord!$B$2)+coord!$C$2*($U51*1000-coord!$C$2)+coord!$D$2*($V51*1000-coord!$D$2))/(SQRT(coord!$B$2^2+coord!$C$2^2+coord!$D$2^2)*SQRT(($T51*1000-coord!$B$2)^2+($U51*1000-coord!$C$2)^2+($V51*1000-coord!$D$2)^2))))</f>
        <v>54.194186352739898</v>
      </c>
      <c r="F51">
        <f>(coord!$C$2*($V51*1000-coord!$D$2)-coord!$D$2*($U51*1000-coord!$C$2))/(SQRT(coord!$B$2^2+coord!$C$2^2+coord!$D$2^2)*SQRT(($T51*1000-coord!$B$2)^2+($U51*1000-coord!$C$2)^2+($V51*1000-coord!$D$2)^2))</f>
        <v>-0.26401225480437723</v>
      </c>
      <c r="G51">
        <f>(-coord!$B$2*($V51*1000-coord!$D$2)+coord!$D$2*($T51*1000-coord!$B$2))/(SQRT(coord!$B$2^2+coord!$C$2^2+coord!$D$2^2)*SQRT(($T51*1000-coord!$B$2)^2+($U51*1000-coord!$C$2)^2+($V51*1000-coord!$D$2)^2))</f>
        <v>-0.39806368196021069</v>
      </c>
      <c r="H51">
        <f>(coord!$B$2*($U51*1000-coord!$C$2)-coord!$C$2*($T51*1000-coord!$B$2))/(SQRT(coord!$B$2^2+coord!$C$2^2+coord!$D$2^2)*SQRT(($T51*1000-coord!$B$2)^2+($U51*1000-coord!$C$2)^2+($V51*1000-coord!$D$2)^2))</f>
        <v>0.33780852426612107</v>
      </c>
      <c r="I51">
        <f t="shared" si="5"/>
        <v>0.47956399067758376</v>
      </c>
      <c r="J51">
        <f t="shared" si="6"/>
        <v>-0.33509333791718526</v>
      </c>
      <c r="K51">
        <f t="shared" si="7"/>
        <v>1.6119486266986116E-3</v>
      </c>
      <c r="L51">
        <f t="shared" si="24"/>
        <v>55.056235566225425</v>
      </c>
      <c r="M51" s="5">
        <f>'sv23'!$AA$3+'sv23'!$Z$3*($B51)+'sv23'!$Y$3*($B51)^2+'sv23'!$X$3*($B51)^3+'sv23'!$W$3*($B51)^4+'sv23'!$V$3*($B51)^5+'sv23'!$U$3*($B51)^6+'sv23'!$T$3*($B51)^7+'sv23'!$S$3*($B51)^8</f>
        <v>9183.7258994508829</v>
      </c>
      <c r="N51" s="5">
        <f>'sv23'!$AA$4+'sv23'!$Z$4*($B51)+'sv23'!$Y$4*($B51)^2+'sv23'!$X$4*($B51)^3+'sv23'!$W$4*($B51)^4+'sv23'!$V$4*($B51)^5+'sv23'!$U$4*($B51)^6+'sv23'!$T$4*($B51)^7+'sv23'!$S$4*($B51)^8</f>
        <v>12268.887158200127</v>
      </c>
      <c r="O51" s="5">
        <f>'sv23'!$AA$5+'sv23'!$Z$5*($B51)+'sv23'!$Y$5*($B51)^2+'sv23'!$X$5*($B51)^3+'sv23'!$W$5*($B51)^4+'sv23'!$V$5*($B51)^5+'sv23'!$U$5*($B51)^6+'sv23'!$T$5*($B51)^7+'sv23'!$S$5*($B51)^8</f>
        <v>21634.671400619802</v>
      </c>
      <c r="P51" s="5">
        <f>'sv23'!$AA$6+'sv23'!$Z$6*$B51+'sv23'!$Y$6*$B51^2+'sv23'!$X$6*$B51^3+'sv23'!$W$6*$B51^4+'sv23'!$V$6*$B51^5+'sv23'!$U$6*$B51^6+'sv23'!$T$6*$B51^7+'sv23'!$S$6*$B51^8</f>
        <v>370.05712220128578</v>
      </c>
      <c r="R51">
        <f>SQRT(($M51*1000-coord!$B$2)^2+($N51*1000-coord!$C$2)^2+($O51*1000-coord!$D$2)^2)/coord!$B$6</f>
        <v>7.0334594744986448E-2</v>
      </c>
      <c r="T51" s="5">
        <f>'sv23'!$AA$3+'sv23'!$Z$3*($B51-$R51/3600)+'sv23'!$Y$3*($B51-$R51/3600)^2+'sv23'!$X$3*($B51-$R51/3600)^3+'sv23'!$W$3*($B51-$R51/3600)^4+'sv23'!$V$3*($B51-$R51/3600)^5+'sv23'!$U$3*($B51-$R51/3600)^6+'sv23'!$T$3*($B51-$R51/3600)^7+'sv23'!$S$3*($B51-$R51/3600)^8+N51*coord!$B$7*R51</f>
        <v>9183.9150424741983</v>
      </c>
      <c r="U51" s="5">
        <f>'sv23'!$AA$4+'sv23'!$Z$4*($B51-$R51/3600)+'sv23'!$Y$4*($B51-$R51/3600)^2+'sv23'!$X$4*($B51-$R51/3600)^3+'sv23'!$W$4*($B51-$R51/3600)^4+'sv23'!$V$4*($B51-$R51/3600)^5+'sv23'!$U$4*($B51-$R51/3600)^6+'sv23'!$T$4*($B51-$R51/3600)^7+'sv23'!$S$4*($B51-$R51/3600)^8-M51*coord!$B$7*R51</f>
        <v>12268.692979467429</v>
      </c>
      <c r="V51" s="5">
        <f>'sv23'!$AA$5+'sv23'!$Z$5*($B51-$R51/3600)+'sv23'!$Y$5*($B51-$R51/3600)^2+'sv23'!$X$5*($B51-$R51/3600)^3+'sv23'!$W$5*($B51-$R51/3600)^4+'sv23'!$V$5*($B51-$R51/3600)^5+'sv23'!$U$5*($B51-$R51/3600)^6+'sv23'!$T$5*($B51-$R51/3600)^7+'sv23'!$S$5*($B51-$R51/3600)^8</f>
        <v>21634.703370552579</v>
      </c>
      <c r="W51">
        <f>coord!$B$6*P51/10^6</f>
        <v>110940.33426512983</v>
      </c>
      <c r="X51">
        <f>SQRT(($T51*1000+coord!$B$7*$R51*$U51*1000-coord!$B$2)^2+($U51*1000-coord!$B$7*$R51*$T51*1000-coord!$C$2)^2+($V51*1000-coord!$D$2)^2)</f>
        <v>21085734.501415718</v>
      </c>
      <c r="Y51" s="3">
        <f>$D51-(X51-$W51)-coord!$E$2</f>
        <v>4.5227553844451904</v>
      </c>
      <c r="Z51" s="3"/>
      <c r="AB51">
        <f>-(T51*1000-coord!$B$2)/$X51</f>
        <v>-0.22740667968442146</v>
      </c>
      <c r="AC51">
        <f>-(U51*1000-coord!$C$2)/$X51</f>
        <v>-0.53799988639265917</v>
      </c>
      <c r="AD51">
        <f>-(V51*1000-coord!$D$2)/$X51</f>
        <v>-0.81169167216363536</v>
      </c>
      <c r="AE51">
        <v>1</v>
      </c>
      <c r="AG51">
        <v>0.68103753666691424</v>
      </c>
      <c r="AH51">
        <v>-0.53799988639265917</v>
      </c>
      <c r="AI51">
        <v>0.79262704697067166</v>
      </c>
      <c r="AJ51">
        <v>0.38615637943116249</v>
      </c>
      <c r="AK51">
        <v>-0.8991758002674809</v>
      </c>
      <c r="AL51">
        <v>-0.16663093048490032</v>
      </c>
      <c r="AM51">
        <v>-0.24722939897177856</v>
      </c>
      <c r="AO51">
        <v>0.35526243818521552</v>
      </c>
      <c r="AP51">
        <v>2.4280357515695594</v>
      </c>
      <c r="AQ51">
        <v>-0.50697254177958395</v>
      </c>
      <c r="AR51">
        <v>8.7849469519294121E-3</v>
      </c>
      <c r="AT51">
        <v>-7.3964552910247131E-2</v>
      </c>
      <c r="AU51">
        <v>0.47981696885121472</v>
      </c>
      <c r="AV51">
        <v>0.27542131156946398</v>
      </c>
      <c r="AW51">
        <v>0.10189193141660746</v>
      </c>
      <c r="AY51">
        <v>-56.535220867342879</v>
      </c>
      <c r="BA51">
        <v>-21.803908521186177</v>
      </c>
      <c r="BD51">
        <f>SQRT(($T51*1000+coord!$B$7*$R51*$U51*1000-coord!$B$2-BA$50)^2+($U51*1000-coord!$B$7*$R51*$T51*1000-coord!$C$2-BA$51)^2+($V51*1000-coord!$D$2-BA$52)^2)</f>
        <v>21085733.887540363</v>
      </c>
      <c r="BE51" s="3">
        <f t="shared" ref="BE51:BE56" si="25">$D51-(BD51-$W51)-BA$53</f>
        <v>-2.3109381212633622</v>
      </c>
      <c r="BG51" s="1"/>
      <c r="BH51" s="1"/>
      <c r="BI51" s="1"/>
      <c r="BV51">
        <f>-SIN(RADIANS(BK50))*SIN(RADIANS(BL50))</f>
        <v>-0.14680019761810828</v>
      </c>
      <c r="BW51">
        <f>COS(RADIANS(BL50))</f>
        <v>0.97852405292775124</v>
      </c>
      <c r="BX51">
        <f>COS(RADIANS(BK50))*SIN(RADIANS(BL50))</f>
        <v>0.14470791208891043</v>
      </c>
      <c r="BZ51" t="s">
        <v>94</v>
      </c>
      <c r="CA51">
        <v>-0.20613267048638234</v>
      </c>
      <c r="CB51">
        <v>0.97852405292775124</v>
      </c>
      <c r="CC51">
        <v>0</v>
      </c>
      <c r="CD51">
        <v>0</v>
      </c>
      <c r="CE51" s="1">
        <v>-23.014450284680244</v>
      </c>
      <c r="CG51" s="1"/>
      <c r="CH51" s="1"/>
      <c r="CI51" s="1"/>
      <c r="CK51">
        <v>-0.58661682117506686</v>
      </c>
      <c r="CL51">
        <v>0.48475895583651984</v>
      </c>
      <c r="CM51">
        <v>-2.4388835556667432E-2</v>
      </c>
      <c r="CN51">
        <v>-0.27883725790777431</v>
      </c>
      <c r="CP51">
        <v>-0.14680019761810825</v>
      </c>
      <c r="CQ51">
        <v>0.97852405292775124</v>
      </c>
      <c r="CR51">
        <v>0.14470791208891043</v>
      </c>
      <c r="CS51">
        <v>0</v>
      </c>
      <c r="CU51" s="5">
        <v>0.32051123635763806</v>
      </c>
      <c r="CV51" s="5">
        <v>0.59526919005922529</v>
      </c>
      <c r="CW51" s="5">
        <v>-0.35018922625317267</v>
      </c>
      <c r="CX51" s="5">
        <v>-0.27883725790777431</v>
      </c>
    </row>
    <row r="52" spans="1:111">
      <c r="A52">
        <v>12</v>
      </c>
      <c r="B52">
        <f t="shared" si="23"/>
        <v>0.35</v>
      </c>
      <c r="C52">
        <v>10</v>
      </c>
      <c r="D52">
        <f>tetto!D52*coord!$B$13-tetto!G52*coord!$B$14</f>
        <v>23135116.654892229</v>
      </c>
      <c r="E52" s="5">
        <f>90-DEGREES(ACOS((coord!$B$2*($T52*1000-coord!$B$2)+coord!$C$2*($U52*1000-coord!$C$2)+coord!$D$2*($V52*1000-coord!$D$2))/(SQRT(coord!$B$2^2+coord!$C$2^2+coord!$D$2^2)*SQRT(($T52*1000-coord!$B$2)^2+($U52*1000-coord!$C$2)^2+($V52*1000-coord!$D$2)^2))))</f>
        <v>23.638635421475172</v>
      </c>
      <c r="F52">
        <f>(coord!$C$2*($V52*1000-coord!$D$2)-coord!$D$2*($U52*1000-coord!$C$2))/(SQRT(coord!$B$2^2+coord!$C$2^2+coord!$D$2^2)*SQRT(($T52*1000-coord!$B$2)^2+($U52*1000-coord!$C$2)^2+($V52*1000-coord!$D$2)^2))</f>
        <v>0.64888073033868066</v>
      </c>
      <c r="G52">
        <f>(-coord!$B$2*($V52*1000-coord!$D$2)+coord!$D$2*($T52*1000-coord!$B$2))/(SQRT(coord!$B$2^2+coord!$C$2^2+coord!$D$2^2)*SQRT(($T52*1000-coord!$B$2)^2+($U52*1000-coord!$C$2)^2+($V52*1000-coord!$D$2)^2))</f>
        <v>-0.31238777459028505</v>
      </c>
      <c r="H52">
        <f>(coord!$B$2*($U52*1000-coord!$C$2)-coord!$C$2*($T52*1000-coord!$B$2))/(SQRT(coord!$B$2^2+coord!$C$2^2+coord!$D$2^2)*SQRT(($T52*1000-coord!$B$2)^2+($U52*1000-coord!$C$2)^2+($V52*1000-coord!$D$2)^2))</f>
        <v>-0.56620954966932935</v>
      </c>
      <c r="I52">
        <f t="shared" si="5"/>
        <v>-0.80381319192064971</v>
      </c>
      <c r="J52">
        <f t="shared" si="6"/>
        <v>-0.43943446628994748</v>
      </c>
      <c r="K52">
        <f t="shared" si="7"/>
        <v>-2.6982190202335388E-3</v>
      </c>
      <c r="L52">
        <f t="shared" si="24"/>
        <v>-61.335132553831954</v>
      </c>
      <c r="M52" s="5">
        <f>'sv10'!$AA$3+'sv10'!$Z$3*($B52)+'sv10'!$Y$3*($B52)^2+'sv10'!$X$3*($B52)^3+'sv10'!$W$3*($B52)^4+'sv10'!$V$3*($B52)^5+'sv10'!$U$3*($B52)^6+'sv10'!$T$3*($B52)^7+'sv10'!$S$3*($B52)^8</f>
        <v>7553.5177021413865</v>
      </c>
      <c r="N52" s="5">
        <f>'sv10'!$AA$4+'sv10'!$Z$4*($B52)+'sv10'!$Y$4*($B52)^2+'sv10'!$X$4*($B52)^3+'sv10'!$W$4*($B52)^4+'sv10'!$V$4*($B52)^5+'sv10'!$U$4*($B52)^6+'sv10'!$T$4*($B52)^7+'sv10'!$S$4*($B52)^8</f>
        <v>-17402.532592445295</v>
      </c>
      <c r="O52" s="5">
        <f>'sv10'!$AA$5+'sv10'!$Z$5*($B52)+'sv10'!$Y$5*($B52)^2+'sv10'!$X$5*($B52)^3+'sv10'!$W$5*($B52)^4+'sv10'!$V$5*($B52)^5+'sv10'!$U$5*($B52)^6+'sv10'!$T$5*($B52)^7+'sv10'!$S$5*($B52)^8</f>
        <v>18257.723953667119</v>
      </c>
      <c r="P52" s="5">
        <f>'sv10'!$AA$6+'sv10'!$Z$6*$B52+'sv10'!$Y$6*$B52^2+'sv10'!$X$6*$B52^3+'sv10'!$W$6*$B52^4+'sv10'!$V$6*$B52^5+'sv10'!$U$6*$B52^6+'sv10'!$T$6*$B52^7+'sv10'!$S$6*$B52^8</f>
        <v>-43.000964596557523</v>
      </c>
      <c r="R52">
        <f>SQRT(($M52*1000-coord!$B$2)^2+($N52*1000-coord!$C$2)^2+($O52*1000-coord!$D$2)^2)/coord!$B$6</f>
        <v>7.7127204282237891E-2</v>
      </c>
      <c r="T52" s="5">
        <f>'sv10'!$AA$3+'sv10'!$Z$3*($B52-$R52/3600)+'sv10'!$Y$3*($B52-$R52/3600)^2+'sv10'!$X$3*($B52-$R52/3600)^3+'sv10'!$W$3*($B52-$R52/3600)^4+'sv10'!$V$3*($B52-$R52/3600)^5+'sv10'!$U$3*($B52-$R52/3600)^6+'sv10'!$T$3*($B52-$R52/3600)^7+'sv10'!$S$3*($B52-$R52/3600)^8+N52*coord!$B$7*R52</f>
        <v>7553.3449857043006</v>
      </c>
      <c r="U52" s="5">
        <f>'sv10'!$AA$4+'sv10'!$Z$4*($B52-$R52/3600)+'sv10'!$Y$4*($B52-$R52/3600)^2+'sv10'!$X$4*($B52-$R52/3600)^3+'sv10'!$W$4*($B52-$R52/3600)^4+'sv10'!$V$4*($B52-$R52/3600)^5+'sv10'!$U$4*($B52-$R52/3600)^6+'sv10'!$T$4*($B52-$R52/3600)^7+'sv10'!$S$4*($B52-$R52/3600)^8-M52*coord!$B$7*R52</f>
        <v>-17402.742570174651</v>
      </c>
      <c r="V52" s="5">
        <f>'sv10'!$AA$5+'sv10'!$Z$5*($B52-$R52/3600)+'sv10'!$Y$5*($B52-$R52/3600)^2+'sv10'!$X$5*($B52-$R52/3600)^3+'sv10'!$W$5*($B52-$R52/3600)^4+'sv10'!$V$5*($B52-$R52/3600)^5+'sv10'!$U$5*($B52-$R52/3600)^6+'sv10'!$T$5*($B52-$R52/3600)^7+'sv10'!$S$5*($B52-$R52/3600)^8</f>
        <v>18257.593924591252</v>
      </c>
      <c r="W52">
        <f>coord!$B$6*P52/10^6</f>
        <v>-12891.36487277296</v>
      </c>
      <c r="X52">
        <f>SQRT(($T52*1000+coord!$B$7*$R52*$U52*1000-coord!$B$2)^2+($U52*1000-coord!$B$7*$R52*$T52*1000-coord!$C$2)^2+($V52*1000-coord!$D$2)^2)</f>
        <v>23122239.965718437</v>
      </c>
      <c r="Y52" s="3">
        <f>$D52-(X52-$W52)-coord!$E$2</f>
        <v>-14.675698980689049</v>
      </c>
      <c r="Z52" s="3"/>
      <c r="AB52">
        <f>-(T52*1000-coord!$B$2)/$X52</f>
        <v>-0.13685814261922771</v>
      </c>
      <c r="AC52">
        <f>-(U52*1000-coord!$C$2)/$X52</f>
        <v>0.79262704697067166</v>
      </c>
      <c r="AD52">
        <f>-(V52*1000-coord!$D$2)/$X52</f>
        <v>-0.59414683312081928</v>
      </c>
      <c r="AE52">
        <v>1</v>
      </c>
      <c r="AG52">
        <v>-0.72619093582322725</v>
      </c>
      <c r="AH52">
        <v>-0.81169167216363536</v>
      </c>
      <c r="AI52">
        <v>-0.59414683312081928</v>
      </c>
      <c r="AJ52">
        <v>-0.46808788504492432</v>
      </c>
      <c r="AK52">
        <v>-8.841519043048697E-2</v>
      </c>
      <c r="AL52">
        <v>-0.83288841907800149</v>
      </c>
      <c r="AM52">
        <v>6.3475793315814877E-2</v>
      </c>
      <c r="AO52">
        <v>1.1222891848344723</v>
      </c>
      <c r="AP52">
        <v>-0.50697254177958395</v>
      </c>
      <c r="AQ52">
        <v>2.4638629142351256</v>
      </c>
      <c r="AR52">
        <v>-3.4579451423452796</v>
      </c>
      <c r="AT52">
        <v>1.4257575614910201</v>
      </c>
      <c r="AU52">
        <v>0.27542131156946364</v>
      </c>
      <c r="AV52">
        <v>2.3494908030911494</v>
      </c>
      <c r="AW52">
        <v>1.807230667027016</v>
      </c>
      <c r="AY52">
        <v>26.289825336825846</v>
      </c>
      <c r="BA52">
        <v>12.926406736566101</v>
      </c>
      <c r="BD52">
        <f>SQRT(($T52*1000+coord!$B$7*$R52*$U52*1000-coord!$B$2-BA$50)^2+($U52*1000-coord!$B$7*$R52*$T52*1000-coord!$C$2-BA$51)^2+($V52*1000-coord!$D$2-BA$52)^2)</f>
        <v>23122213.888551746</v>
      </c>
      <c r="BE52" s="3">
        <f t="shared" si="25"/>
        <v>3.9538988494533527</v>
      </c>
      <c r="BG52" s="1"/>
      <c r="BH52" s="1"/>
      <c r="BI52" s="1"/>
      <c r="BV52">
        <f>COS(RADIANS(BK50))</f>
        <v>0.70201347388292934</v>
      </c>
      <c r="BW52">
        <v>0</v>
      </c>
      <c r="BX52">
        <f>SIN(RADIANS(BK50))</f>
        <v>0.71216366271161413</v>
      </c>
      <c r="BZ52" t="s">
        <v>95</v>
      </c>
      <c r="CA52">
        <v>0.68693706967381407</v>
      </c>
      <c r="CB52">
        <v>0.14470791208891043</v>
      </c>
      <c r="CC52">
        <v>0.71216366271161413</v>
      </c>
      <c r="CD52">
        <v>0</v>
      </c>
      <c r="CE52" s="1">
        <v>11.64512413914969</v>
      </c>
      <c r="CG52" s="1"/>
      <c r="CH52" s="1"/>
      <c r="CI52" s="1"/>
      <c r="CK52">
        <v>2.7183765576163719</v>
      </c>
      <c r="CL52">
        <v>0.21476936854753576</v>
      </c>
      <c r="CM52">
        <v>2.6924833401345749</v>
      </c>
      <c r="CN52">
        <v>2.5632762405483862</v>
      </c>
      <c r="CP52">
        <v>0.70201347388292934</v>
      </c>
      <c r="CQ52">
        <v>0</v>
      </c>
      <c r="CR52">
        <v>0.71216366271161413</v>
      </c>
      <c r="CS52">
        <v>0</v>
      </c>
      <c r="CU52" s="5">
        <v>-3.5721699800402629E-2</v>
      </c>
      <c r="CV52" s="5">
        <v>-0.35018922625317334</v>
      </c>
      <c r="CW52" s="5">
        <v>3.8159212509623881</v>
      </c>
      <c r="CX52" s="5">
        <v>2.5632762405483862</v>
      </c>
    </row>
    <row r="53" spans="1:111">
      <c r="A53">
        <v>12</v>
      </c>
      <c r="B53">
        <f t="shared" si="23"/>
        <v>0.35</v>
      </c>
      <c r="C53">
        <v>4</v>
      </c>
      <c r="D53">
        <f>tetto!D53*coord!$B$13-tetto!G53*coord!$B$14</f>
        <v>21094682.184120227</v>
      </c>
      <c r="E53" s="5">
        <f>90-DEGREES(ACOS((coord!$B$2*($T53*1000-coord!$B$2)+coord!$C$2*($U53*1000-coord!$C$2)+coord!$D$2*($V53*1000-coord!$D$2))/(SQRT(coord!$B$2^2+coord!$C$2^2+coord!$D$2^2)*SQRT(($T53*1000-coord!$B$2)^2+($U53*1000-coord!$C$2)^2+($V53*1000-coord!$D$2)^2))))</f>
        <v>55.491573557903536</v>
      </c>
      <c r="F53">
        <f>(coord!$C$2*($V53*1000-coord!$D$2)-coord!$D$2*($U53*1000-coord!$C$2))/(SQRT(coord!$B$2^2+coord!$C$2^2+coord!$D$2^2)*SQRT(($T53*1000-coord!$B$2)^2+($U53*1000-coord!$C$2)^2+($V53*1000-coord!$D$2)^2))</f>
        <v>0.34206267281895469</v>
      </c>
      <c r="G53">
        <f>(-coord!$B$2*($V53*1000-coord!$D$2)+coord!$D$2*($T53*1000-coord!$B$2))/(SQRT(coord!$B$2^2+coord!$C$2^2+coord!$D$2^2)*SQRT(($T53*1000-coord!$B$2)^2+($U53*1000-coord!$C$2)^2+($V53*1000-coord!$D$2)^2))</f>
        <v>0.24154048738867237</v>
      </c>
      <c r="H53">
        <f>(coord!$B$2*($U53*1000-coord!$C$2)-coord!$C$2*($T53*1000-coord!$B$2))/(SQRT(coord!$B$2^2+coord!$C$2^2+coord!$D$2^2)*SQRT(($T53*1000-coord!$B$2)^2+($U53*1000-coord!$C$2)^2+($V53*1000-coord!$D$2)^2))</f>
        <v>-0.38158177980694424</v>
      </c>
      <c r="I53">
        <f t="shared" si="5"/>
        <v>-0.541706708759635</v>
      </c>
      <c r="J53">
        <f t="shared" si="6"/>
        <v>0.1658428863032276</v>
      </c>
      <c r="K53">
        <f t="shared" si="7"/>
        <v>-1.8200582569426471E-3</v>
      </c>
      <c r="L53">
        <f t="shared" si="24"/>
        <v>252.97809130278833</v>
      </c>
      <c r="M53" s="5">
        <f>'sv04'!$AA$3+'sv04'!$Z$3*($B53)+'sv04'!$Y$3*($B53)^2+'sv04'!$X$3*($B53)^3+'sv04'!$W$3*($B53)^4+'sv04'!$V$3*($B53)^5+'sv04'!$U$3*($B53)^6+'sv04'!$T$3*($B53)^7+'sv04'!$S$3*($B53)^8</f>
        <v>21176.650440451271</v>
      </c>
      <c r="N53" s="5">
        <f>'sv04'!$AA$4+'sv04'!$Z$4*($B53)+'sv04'!$Y$4*($B53)^2+'sv04'!$X$4*($B53)^3+'sv04'!$W$4*($B53)^4+'sv04'!$V$4*($B53)^5+'sv04'!$U$4*($B53)^6+'sv04'!$T$4*($B53)^7+'sv04'!$S$4*($B53)^8</f>
        <v>-7231.1585542109724</v>
      </c>
      <c r="O53" s="5">
        <f>'sv04'!$AA$5+'sv04'!$Z$5*($B53)+'sv04'!$Y$5*($B53)^2+'sv04'!$X$5*($B53)^3+'sv04'!$W$5*($B53)^4+'sv04'!$V$5*($B53)^5+'sv04'!$U$5*($B53)^6+'sv04'!$T$5*($B53)^7+'sv04'!$S$5*($B53)^8</f>
        <v>14405.748690733248</v>
      </c>
      <c r="P53" s="5">
        <f>'sv04'!$AA$6+'sv04'!$Z$6*$B53+'sv04'!$Y$6*$B53^2+'sv04'!$X$6*$B53^3+'sv04'!$W$6*$B53^4+'sv04'!$V$6*$B53^5+'sv04'!$U$6*$B53^6+'sv04'!$T$6*$B53^7+'sv04'!$S$6*$B53^8</f>
        <v>86.597835787835308</v>
      </c>
      <c r="R53">
        <f>SQRT(($M53*1000-coord!$B$2)^2+($N53*1000-coord!$C$2)^2+($O53*1000-coord!$D$2)^2)/coord!$B$6</f>
        <v>7.0450867236698744E-2</v>
      </c>
      <c r="T53" s="5">
        <f>'sv04'!$AA$3+'sv04'!$Z$3*($B53-$R53/3600)+'sv04'!$Y$3*($B53-$R53/3600)^2+'sv04'!$X$3*($B53-$R53/3600)^3+'sv04'!$W$3*($B53-$R53/3600)^4+'sv04'!$V$3*($B53-$R53/3600)^5+'sv04'!$U$3*($B53-$R53/3600)^6+'sv04'!$T$3*($B53-$R53/3600)^7+'sv04'!$S$3*($B53-$R53/3600)^8+N53*coord!$B$7*R53</f>
        <v>21176.487373151631</v>
      </c>
      <c r="U53" s="5">
        <f>'sv04'!$AA$4+'sv04'!$Z$4*($B53-$R53/3600)+'sv04'!$Y$4*($B53-$R53/3600)^2+'sv04'!$X$4*($B53-$R53/3600)^3+'sv04'!$W$4*($B53-$R53/3600)^4+'sv04'!$V$4*($B53-$R53/3600)^5+'sv04'!$U$4*($B53-$R53/3600)^6+'sv04'!$T$4*($B53-$R53/3600)^7+'sv04'!$S$4*($B53-$R53/3600)^8-M53*coord!$B$7*R53</f>
        <v>-7231.304980705615</v>
      </c>
      <c r="V53" s="5">
        <f>'sv04'!$AA$5+'sv04'!$Z$5*($B53-$R53/3600)+'sv04'!$Y$5*($B53-$R53/3600)^2+'sv04'!$X$5*($B53-$R53/3600)^3+'sv04'!$W$5*($B53-$R53/3600)^4+'sv04'!$V$5*($B53-$R53/3600)^5+'sv04'!$U$5*($B53-$R53/3600)^6+'sv04'!$T$5*($B53-$R53/3600)^7+'sv04'!$S$5*($B53-$R53/3600)^8</f>
        <v>14405.9104317362</v>
      </c>
      <c r="W53">
        <f>coord!$B$6*P53/10^6</f>
        <v>25961.378048315513</v>
      </c>
      <c r="X53">
        <f>SQRT(($T53*1000+coord!$B$7*$R53*$U53*1000-coord!$B$2)^2+($U53*1000-coord!$B$7*$R53*$T53*1000-coord!$C$2)^2+($V53*1000-coord!$D$2)^2)</f>
        <v>21120653.777414829</v>
      </c>
      <c r="Y53" s="3">
        <f>$D53-(X53-$W53)-coord!$E$2</f>
        <v>-10.2152462862432</v>
      </c>
      <c r="Z53" s="3"/>
      <c r="AB53">
        <f>-(T53*1000-coord!$B$2)/$X53</f>
        <v>-0.79484325529275524</v>
      </c>
      <c r="AC53">
        <f>-(U53*1000-coord!$C$2)/$X53</f>
        <v>0.38615637943116249</v>
      </c>
      <c r="AD53">
        <f>-(V53*1000-coord!$D$2)/$X53</f>
        <v>-0.46808788504492432</v>
      </c>
      <c r="AE53">
        <v>1</v>
      </c>
      <c r="AG53">
        <v>1</v>
      </c>
      <c r="AH53">
        <v>1</v>
      </c>
      <c r="AI53">
        <v>1</v>
      </c>
      <c r="AJ53">
        <v>1</v>
      </c>
      <c r="AK53">
        <v>1</v>
      </c>
      <c r="AL53">
        <v>1</v>
      </c>
      <c r="AM53">
        <v>1</v>
      </c>
      <c r="AO53">
        <v>-3.176293111523683</v>
      </c>
      <c r="AP53">
        <v>8.7849469519294121E-3</v>
      </c>
      <c r="AQ53">
        <v>-3.4579451423452796</v>
      </c>
      <c r="AR53">
        <v>7</v>
      </c>
      <c r="AT53">
        <v>1.8363947971226464</v>
      </c>
      <c r="AU53">
        <v>0.1018919314166073</v>
      </c>
      <c r="AV53">
        <v>1.8072306670270155</v>
      </c>
      <c r="AW53">
        <v>1.8687625050099654</v>
      </c>
      <c r="AY53">
        <v>-18.625977102667093</v>
      </c>
      <c r="BA53">
        <v>7.447568861280061</v>
      </c>
      <c r="BD53">
        <f>SQRT(($T53*1000+coord!$B$7*$R53*$U53*1000-coord!$B$2-BA$50)^2+($U53*1000-coord!$B$7*$R53*$T53*1000-coord!$C$2-BA$51)^2+($V53*1000-coord!$D$2-BA$52)^2)</f>
        <v>21120632.833487675</v>
      </c>
      <c r="BE53" s="3">
        <f t="shared" si="25"/>
        <v>3.2811120064217079</v>
      </c>
      <c r="BG53" s="1"/>
      <c r="BH53" s="1"/>
      <c r="BI53" s="1"/>
      <c r="CA53">
        <v>0</v>
      </c>
      <c r="CB53">
        <v>0</v>
      </c>
      <c r="CC53">
        <v>0</v>
      </c>
      <c r="CD53">
        <v>1</v>
      </c>
      <c r="CG53" s="1"/>
      <c r="CH53" s="1"/>
      <c r="CI53" s="1"/>
      <c r="CK53">
        <v>1.8363947971226464</v>
      </c>
      <c r="CL53">
        <v>0.1018919314166073</v>
      </c>
      <c r="CM53">
        <v>1.8072306670270155</v>
      </c>
      <c r="CN53">
        <v>1.8687625050099654</v>
      </c>
      <c r="CP53">
        <v>0</v>
      </c>
      <c r="CQ53">
        <v>0</v>
      </c>
      <c r="CR53">
        <v>0</v>
      </c>
      <c r="CS53">
        <v>1</v>
      </c>
      <c r="CU53" s="5">
        <v>-2.5984585285355077E-2</v>
      </c>
      <c r="CV53" s="5">
        <v>-0.27883725790777442</v>
      </c>
      <c r="CW53" s="5">
        <v>2.5632762405483858</v>
      </c>
      <c r="CX53" s="5">
        <v>1.8687625050099654</v>
      </c>
    </row>
    <row r="54" spans="1:111">
      <c r="A54">
        <v>12</v>
      </c>
      <c r="B54">
        <f t="shared" si="23"/>
        <v>0.35</v>
      </c>
      <c r="C54">
        <v>20</v>
      </c>
      <c r="D54">
        <f>tetto!D54*coord!$B$13-tetto!G54*coord!$B$14</f>
        <v>22836102.363525115</v>
      </c>
      <c r="E54" s="5">
        <f>90-DEGREES(ACOS((coord!$B$2*($T54*1000-coord!$B$2)+coord!$C$2*($U54*1000-coord!$C$2)+coord!$D$2*($V54*1000-coord!$D$2))/(SQRT(coord!$B$2^2+coord!$C$2^2+coord!$D$2^2)*SQRT(($T54*1000-coord!$B$2)^2+($U54*1000-coord!$C$2)^2+($V54*1000-coord!$D$2)^2))))</f>
        <v>29.256386497809999</v>
      </c>
      <c r="F54">
        <f>(coord!$C$2*($V54*1000-coord!$D$2)-coord!$D$2*($U54*1000-coord!$C$2))/(SQRT(coord!$B$2^2+coord!$C$2^2+coord!$D$2^2)*SQRT(($T54*1000-coord!$B$2)^2+($U54*1000-coord!$C$2)^2+($V54*1000-coord!$D$2)^2))</f>
        <v>-0.62539749954150137</v>
      </c>
      <c r="G54">
        <f>(-coord!$B$2*($V54*1000-coord!$D$2)+coord!$D$2*($T54*1000-coord!$B$2))/(SQRT(coord!$B$2^2+coord!$C$2^2+coord!$D$2^2)*SQRT(($T54*1000-coord!$B$2)^2+($U54*1000-coord!$C$2)^2+($V54*1000-coord!$D$2)^2))</f>
        <v>0.24325310128579369</v>
      </c>
      <c r="H54">
        <f>(coord!$B$2*($U54*1000-coord!$C$2)-coord!$C$2*($T54*1000-coord!$B$2))/(SQRT(coord!$B$2^2+coord!$C$2^2+coord!$D$2^2)*SQRT(($T54*1000-coord!$B$2)^2+($U54*1000-coord!$C$2)^2+($V54*1000-coord!$D$2)^2))</f>
        <v>0.55754832280237188</v>
      </c>
      <c r="I54">
        <f t="shared" si="5"/>
        <v>0.79151713540586122</v>
      </c>
      <c r="J54">
        <f t="shared" si="6"/>
        <v>0.36694386453653693</v>
      </c>
      <c r="K54">
        <f t="shared" si="7"/>
        <v>2.6571818808891479E-3</v>
      </c>
      <c r="L54">
        <f t="shared" si="24"/>
        <v>114.87223172013509</v>
      </c>
      <c r="M54" s="5">
        <f>'sv20'!$AA$3+'sv20'!$Z$3*($B54)+'sv20'!$Y$3*($B54)^2+'sv20'!$X$3*($B54)^3+'sv20'!$W$3*($B54)^4+'sv20'!$V$3*($B54)^5+'sv20'!$U$3*($B54)^6+'sv20'!$T$3*($B54)^7+'sv20'!$S$3*($B54)^8</f>
        <v>14182.658888886457</v>
      </c>
      <c r="N54" s="5">
        <f>'sv20'!$AA$4+'sv20'!$Z$4*($B54)+'sv20'!$Y$4*($B54)^2+'sv20'!$X$4*($B54)^3+'sv20'!$W$4*($B54)^4+'sv20'!$V$4*($B54)^5+'sv20'!$U$4*($B54)^6+'sv20'!$T$4*($B54)^7+'sv20'!$S$4*($B54)^8</f>
        <v>21473.412841515703</v>
      </c>
      <c r="O54" s="5">
        <f>'sv20'!$AA$5+'sv20'!$Z$5*($B54)+'sv20'!$Y$5*($B54)^2+'sv20'!$X$5*($B54)^3+'sv20'!$W$5*($B54)^4+'sv20'!$V$5*($B54)^5+'sv20'!$U$5*($B54)^6+'sv20'!$T$5*($B54)^7+'sv20'!$S$5*($B54)^8</f>
        <v>6539.8974272198502</v>
      </c>
      <c r="P54" s="5">
        <f>'sv20'!$AA$6+'sv20'!$Z$6*$B54+'sv20'!$Y$6*$B54^2+'sv20'!$X$6*$B54^3+'sv20'!$W$6*$B54^4+'sv20'!$V$6*$B54^5+'sv20'!$U$6*$B54^6+'sv20'!$T$6*$B54^7+'sv20'!$S$6*$B54^8</f>
        <v>55.817990448924817</v>
      </c>
      <c r="R54">
        <f>SQRT(($M54*1000-coord!$B$2)^2+($N54*1000-coord!$C$2)^2+($O54*1000-coord!$D$2)^2)/coord!$B$6</f>
        <v>7.6229046106606149E-2</v>
      </c>
      <c r="T54" s="5">
        <f>'sv20'!$AA$3+'sv20'!$Z$3*($B54-$R54/3600)+'sv20'!$Y$3*($B54-$R54/3600)^2+'sv20'!$X$3*($B54-$R54/3600)^3+'sv20'!$W$3*($B54-$R54/3600)^4+'sv20'!$V$3*($B54-$R54/3600)^5+'sv20'!$U$3*($B54-$R54/3600)^6+'sv20'!$T$3*($B54-$R54/3600)^7+'sv20'!$S$3*($B54-$R54/3600)^8+N54*coord!$B$7*R54</f>
        <v>14182.776945342359</v>
      </c>
      <c r="U54" s="5">
        <f>'sv20'!$AA$4+'sv20'!$Z$4*($B54-$R54/3600)+'sv20'!$Y$4*($B54-$R54/3600)^2+'sv20'!$X$4*($B54-$R54/3600)^3+'sv20'!$W$4*($B54-$R54/3600)^4+'sv20'!$V$4*($B54-$R54/3600)^5+'sv20'!$U$4*($B54-$R54/3600)^6+'sv20'!$T$4*($B54-$R54/3600)^7+'sv20'!$S$4*($B54-$R54/3600)^8-M54*coord!$B$7*R54</f>
        <v>21473.264348004552</v>
      </c>
      <c r="V54" s="5">
        <f>'sv20'!$AA$5+'sv20'!$Z$5*($B54-$R54/3600)+'sv20'!$Y$5*($B54-$R54/3600)^2+'sv20'!$X$5*($B54-$R54/3600)^3+'sv20'!$W$5*($B54-$R54/3600)^4+'sv20'!$V$5*($B54-$R54/3600)^5+'sv20'!$U$5*($B54-$R54/3600)^6+'sv20'!$T$5*($B54-$R54/3600)^7+'sv20'!$S$5*($B54-$R54/3600)^8</f>
        <v>6540.1238630982316</v>
      </c>
      <c r="W54">
        <f>coord!$B$6*P54/10^6</f>
        <v>16733.812557303692</v>
      </c>
      <c r="X54">
        <f>SQRT(($T54*1000+coord!$B$7*$R54*$U54*1000-coord!$B$2)^2+($U54*1000-coord!$B$7*$R54*$T54*1000-coord!$C$2)^2+($V54*1000-coord!$D$2)^2)</f>
        <v>22852810.461193312</v>
      </c>
      <c r="Y54" s="3">
        <f>$D54-(X54-$W54)-coord!$E$2</f>
        <v>25.714889105409384</v>
      </c>
      <c r="Z54" s="3"/>
      <c r="AB54">
        <f>-(T54*1000-coord!$B$2)/$X54</f>
        <v>-0.42856430245958232</v>
      </c>
      <c r="AC54">
        <f>-(U54*1000-coord!$C$2)/$X54</f>
        <v>-0.8991758002674809</v>
      </c>
      <c r="AD54">
        <f>-(V54*1000-coord!$D$2)/$X54</f>
        <v>-8.841519043048697E-2</v>
      </c>
      <c r="AE54">
        <v>1</v>
      </c>
      <c r="BD54">
        <f>SQRT(($T54*1000+coord!$B$7*$R54*$U54*1000-coord!$B$2-BA$50)^2+($U54*1000-coord!$B$7*$R54*$T54*1000-coord!$C$2-BA$51)^2+($V54*1000-coord!$D$2-BA$52)^2)</f>
        <v>22852825.433396399</v>
      </c>
      <c r="BE54" s="3">
        <f t="shared" si="25"/>
        <v>3.2951171570676792</v>
      </c>
      <c r="BG54" s="1"/>
      <c r="BH54" s="1"/>
      <c r="BI54" s="1"/>
      <c r="CG54" s="1"/>
      <c r="CH54" s="1"/>
      <c r="CI54" s="1"/>
    </row>
    <row r="55" spans="1:111">
      <c r="A55">
        <v>12</v>
      </c>
      <c r="B55">
        <f t="shared" si="23"/>
        <v>0.35</v>
      </c>
      <c r="C55">
        <v>13</v>
      </c>
      <c r="D55">
        <f>tetto!D55*coord!$B$13-tetto!G55*coord!$B$14</f>
        <v>20094331.551346075</v>
      </c>
      <c r="E55" s="5">
        <f>90-DEGREES(ACOS((coord!$B$2*($T55*1000-coord!$B$2)+coord!$C$2*($U55*1000-coord!$C$2)+coord!$D$2*($V55*1000-coord!$D$2))/(SQRT(coord!$B$2^2+coord!$C$2^2+coord!$D$2^2)*SQRT(($T55*1000-coord!$B$2)^2+($U55*1000-coord!$C$2)^2+($V55*1000-coord!$D$2)^2))))</f>
        <v>78.280017046451178</v>
      </c>
      <c r="F55">
        <f>(coord!$C$2*($V55*1000-coord!$D$2)-coord!$D$2*($U55*1000-coord!$C$2))/(SQRT(coord!$B$2^2+coord!$C$2^2+coord!$D$2^2)*SQRT(($T55*1000-coord!$B$2)^2+($U55*1000-coord!$C$2)^2+($V55*1000-coord!$D$2)^2))</f>
        <v>2.6636660854197653E-3</v>
      </c>
      <c r="G55">
        <f>(-coord!$B$2*($V55*1000-coord!$D$2)+coord!$D$2*($T55*1000-coord!$B$2))/(SQRT(coord!$B$2^2+coord!$C$2^2+coord!$D$2^2)*SQRT(($T55*1000-coord!$B$2)^2+($U55*1000-coord!$C$2)^2+($V55*1000-coord!$D$2)^2))</f>
        <v>-0.1994826729115278</v>
      </c>
      <c r="H55">
        <f>(coord!$B$2*($U55*1000-coord!$C$2)-coord!$C$2*($T55*1000-coord!$B$2))/(SQRT(coord!$B$2^2+coord!$C$2^2+coord!$D$2^2)*SQRT(($T55*1000-coord!$B$2)^2+($U55*1000-coord!$C$2)^2+($V55*1000-coord!$D$2)^2))</f>
        <v>3.8221453150768032E-2</v>
      </c>
      <c r="I55">
        <f t="shared" si="5"/>
        <v>5.4259843275241054E-2</v>
      </c>
      <c r="J55">
        <f t="shared" si="6"/>
        <v>-0.19574766237596461</v>
      </c>
      <c r="K55">
        <f t="shared" si="7"/>
        <v>1.8295351923338851E-4</v>
      </c>
      <c r="L55">
        <f t="shared" si="24"/>
        <v>15.492990637347233</v>
      </c>
      <c r="M55" s="5">
        <f>'sv13'!$AA$3+'sv13'!$Z$3*($B55)+'sv13'!$Y$3*($B55)^2+'sv13'!$X$3*($B55)^3+'sv13'!$W$3*($B55)^4+'sv13'!$V$3*($B55)^5+'sv13'!$U$3*($B55)^6+'sv13'!$T$3*($B55)^7+'sv13'!$S$3*($B55)^8</f>
        <v>15041.862689074913</v>
      </c>
      <c r="N55" s="5">
        <f>'sv13'!$AA$4+'sv13'!$Z$4*($B55)+'sv13'!$Y$4*($B55)^2+'sv13'!$X$4*($B55)^3+'sv13'!$W$4*($B55)^4+'sv13'!$V$4*($B55)^5+'sv13'!$U$4*($B55)^6+'sv13'!$T$4*($B55)^7+'sv13'!$S$4*($B55)^8</f>
        <v>4288.3155342861382</v>
      </c>
      <c r="O55" s="5">
        <f>'sv13'!$AA$5+'sv13'!$Z$5*($B55)+'sv13'!$Y$5*($B55)^2+'sv13'!$X$5*($B55)^3+'sv13'!$W$5*($B55)^4+'sv13'!$V$5*($B55)^5+'sv13'!$U$5*($B55)^6+'sv13'!$T$5*($B55)^7+'sv13'!$S$5*($B55)^8</f>
        <v>21331.946943453793</v>
      </c>
      <c r="P55" s="5">
        <f>'sv13'!$AA$6+'sv13'!$Z$6*$B55+'sv13'!$Y$6*$B55^2+'sv13'!$X$6*$B55^3+'sv13'!$W$6*$B55^4+'sv13'!$V$6*$B55^5+'sv13'!$U$6*$B55^6+'sv13'!$T$6*$B55^7+'sv13'!$S$6*$B55^8</f>
        <v>304.21958087104161</v>
      </c>
      <c r="R55">
        <f>SQRT(($M55*1000-coord!$B$2)^2+($N55*1000-coord!$C$2)^2+($O55*1000-coord!$D$2)^2)/coord!$B$6</f>
        <v>6.7331733746307618E-2</v>
      </c>
      <c r="T55" s="5">
        <f>'sv13'!$AA$3+'sv13'!$Z$3*($B55-$R55/3600)+'sv13'!$Y$3*($B55-$R55/3600)^2+'sv13'!$X$3*($B55-$R55/3600)^3+'sv13'!$W$3*($B55-$R55/3600)^4+'sv13'!$V$3*($B55-$R55/3600)^5+'sv13'!$U$3*($B55-$R55/3600)^6+'sv13'!$T$3*($B55-$R55/3600)^7+'sv13'!$S$3*($B55-$R55/3600)^8+N55*coord!$B$7*R55</f>
        <v>15042.0069432816</v>
      </c>
      <c r="U55" s="5">
        <f>'sv13'!$AA$4+'sv13'!$Z$4*($B55-$R55/3600)+'sv13'!$Y$4*($B55-$R55/3600)^2+'sv13'!$X$4*($B55-$R55/3600)^3+'sv13'!$W$4*($B55-$R55/3600)^4+'sv13'!$V$4*($B55-$R55/3600)^5+'sv13'!$U$4*($B55-$R55/3600)^6+'sv13'!$T$4*($B55-$R55/3600)^7+'sv13'!$S$4*($B55-$R55/3600)^8-M55*coord!$B$7*R55</f>
        <v>4288.1049986047601</v>
      </c>
      <c r="V55" s="5">
        <f>'sv13'!$AA$5+'sv13'!$Z$5*($B55-$R55/3600)+'sv13'!$Y$5*($B55-$R55/3600)^2+'sv13'!$X$5*($B55-$R55/3600)^3+'sv13'!$W$5*($B55-$R55/3600)^4+'sv13'!$V$5*($B55-$R55/3600)^5+'sv13'!$U$5*($B55-$R55/3600)^6+'sv13'!$T$5*($B55-$R55/3600)^7+'sv13'!$S$5*($B55-$R55/3600)^8</f>
        <v>21331.888138300914</v>
      </c>
      <c r="W55">
        <f>coord!$B$6*P55/10^6</f>
        <v>91202.735921059342</v>
      </c>
      <c r="X55">
        <f>SQRT(($T55*1000+coord!$B$7*$R55*$U55*1000-coord!$B$2)^2+($U55*1000-coord!$B$7*$R55*$T55*1000-coord!$C$2)^2+($V55*1000-coord!$D$2)^2)</f>
        <v>20185536.836509205</v>
      </c>
      <c r="Y55" s="3">
        <f>$D55-(X55-$W55)-coord!$E$2</f>
        <v>-2.5492420718073845</v>
      </c>
      <c r="Z55" s="3"/>
      <c r="AB55">
        <f>-(T55*1000-coord!$B$2)/$X55</f>
        <v>-0.52776048805466913</v>
      </c>
      <c r="AC55">
        <f>-(U55*1000-coord!$C$2)/$X55</f>
        <v>-0.16663093048490032</v>
      </c>
      <c r="AD55">
        <f>-(V55*1000-coord!$D$2)/$X55</f>
        <v>-0.83288841907800149</v>
      </c>
      <c r="AE55">
        <v>1</v>
      </c>
      <c r="BD55">
        <f>SQRT(($T55*1000+coord!$B$7*$R55*$U55*1000-coord!$B$2-BA$50)^2+($U55*1000-coord!$B$7*$R55*$T55*1000-coord!$C$2-BA$51)^2+($V55*1000-coord!$D$2-BA$52)^2)</f>
        <v>20185525.405159306</v>
      </c>
      <c r="BE55" s="3">
        <f t="shared" si="25"/>
        <v>1.4345389665323722</v>
      </c>
      <c r="BG55" s="1"/>
      <c r="BH55" s="1"/>
      <c r="BI55" s="1"/>
      <c r="CG55" s="1"/>
      <c r="CH55" s="1"/>
      <c r="CI55" s="1"/>
    </row>
    <row r="56" spans="1:111">
      <c r="A56">
        <v>12</v>
      </c>
      <c r="B56">
        <f t="shared" si="23"/>
        <v>0.35</v>
      </c>
      <c r="C56">
        <v>7</v>
      </c>
      <c r="D56">
        <f>tetto!D56*coord!$B$13-tetto!G56*coord!$B$14</f>
        <v>22030417.473165736</v>
      </c>
      <c r="E56" s="5">
        <f>90-DEGREES(ACOS((coord!$B$2*($T56*1000-coord!$B$2)+coord!$C$2*($U56*1000-coord!$C$2)+coord!$D$2*($V56*1000-coord!$D$2))/(SQRT(coord!$B$2^2+coord!$C$2^2+coord!$D$2^2)*SQRT(($T56*1000-coord!$B$2)^2+($U56*1000-coord!$C$2)^2+($V56*1000-coord!$D$2)^2))))</f>
        <v>41.093143964254232</v>
      </c>
      <c r="F56">
        <f>(coord!$C$2*($V56*1000-coord!$D$2)-coord!$D$2*($U56*1000-coord!$C$2))/(SQRT(coord!$B$2^2+coord!$C$2^2+coord!$D$2^2)*SQRT(($T56*1000-coord!$B$2)^2+($U56*1000-coord!$C$2)^2+($V56*1000-coord!$D$2)^2))</f>
        <v>-0.18470069386198745</v>
      </c>
      <c r="G56">
        <f>(-coord!$B$2*($V56*1000-coord!$D$2)+coord!$D$2*($T56*1000-coord!$B$2))/(SQRT(coord!$B$2^2+coord!$C$2^2+coord!$D$2^2)*SQRT(($T56*1000-coord!$B$2)^2+($U56*1000-coord!$C$2)^2+($V56*1000-coord!$D$2)^2))</f>
        <v>0.73004185609061389</v>
      </c>
      <c r="H56">
        <f>(coord!$B$2*($U56*1000-coord!$C$2)-coord!$C$2*($T56*1000-coord!$B$2))/(SQRT(coord!$B$2^2+coord!$C$2^2+coord!$D$2^2)*SQRT(($T56*1000-coord!$B$2)^2+($U56*1000-coord!$C$2)^2+($V56*1000-coord!$D$2)^2))</f>
        <v>3.0014656348952055E-2</v>
      </c>
      <c r="I56">
        <f t="shared" si="5"/>
        <v>4.2612645450911507E-2</v>
      </c>
      <c r="J56">
        <f t="shared" si="6"/>
        <v>0.75243636294886818</v>
      </c>
      <c r="K56">
        <f t="shared" si="7"/>
        <v>1.4040309081139735E-4</v>
      </c>
      <c r="L56">
        <f t="shared" si="24"/>
        <v>176.75863681149488</v>
      </c>
      <c r="M56" s="5">
        <f>'sv07'!$AA$3+'sv07'!$Z$3*($B56)+'sv07'!$Y$3*($B56)^2+'sv07'!$X$3*($B56)^3+'sv07'!$W$3*($B56)^4+'sv07'!$V$3*($B56)^5+'sv07'!$U$3*($B56)^6+'sv07'!$T$3*($B56)^7+'sv07'!$S$3*($B56)^8</f>
        <v>25689.300909864545</v>
      </c>
      <c r="N56" s="5">
        <f>'sv07'!$AA$4+'sv07'!$Z$4*($B56)+'sv07'!$Y$4*($B56)^2+'sv07'!$X$4*($B56)^3+'sv07'!$W$4*($B56)^4+'sv07'!$V$4*($B56)^5+'sv07'!$U$4*($B56)^6+'sv07'!$T$4*($B56)^7+'sv07'!$S$4*($B56)^8</f>
        <v>6371.239198241743</v>
      </c>
      <c r="O56" s="5">
        <f>'sv07'!$AA$5+'sv07'!$Z$5*($B56)+'sv07'!$Y$5*($B56)^2+'sv07'!$X$5*($B56)^3+'sv07'!$W$5*($B56)^4+'sv07'!$V$5*($B56)^5+'sv07'!$U$5*($B56)^6+'sv07'!$T$5*($B56)^7+'sv07'!$S$5*($B56)^8</f>
        <v>3121.4341820564591</v>
      </c>
      <c r="P56" s="5">
        <f>'sv07'!$AA$6+'sv07'!$Z$6*$B56+'sv07'!$Y$6*$B56^2+'sv07'!$X$6*$B56^3+'sv07'!$W$6*$B56^4+'sv07'!$V$6*$B56^5+'sv07'!$U$6*$B56^6+'sv07'!$T$6*$B56^7+'sv07'!$S$6*$B56^8</f>
        <v>-0.63766180439237508</v>
      </c>
      <c r="R56">
        <f>SQRT(($M56*1000-coord!$B$2)^2+($N56*1000-coord!$C$2)^2+($O56*1000-coord!$D$2)^2)/coord!$B$6</f>
        <v>7.3484786934658888E-2</v>
      </c>
      <c r="T56" s="5">
        <f>'sv07'!$AA$3+'sv07'!$Z$3*($B56-$R56/3600)+'sv07'!$Y$3*($B56-$R56/3600)^2+'sv07'!$X$3*($B56-$R56/3600)^3+'sv07'!$W$3*($B56-$R56/3600)^4+'sv07'!$V$3*($B56-$R56/3600)^5+'sv07'!$U$3*($B56-$R56/3600)^6+'sv07'!$T$3*($B56-$R56/3600)^7+'sv07'!$S$3*($B56-$R56/3600)^8+N56*coord!$B$7*R56</f>
        <v>25689.366470837984</v>
      </c>
      <c r="U56" s="5">
        <f>'sv07'!$AA$4+'sv07'!$Z$4*($B56-$R56/3600)+'sv07'!$Y$4*($B56-$R56/3600)^2+'sv07'!$X$4*($B56-$R56/3600)^3+'sv07'!$W$4*($B56-$R56/3600)^4+'sv07'!$V$4*($B56-$R56/3600)^5+'sv07'!$U$4*($B56-$R56/3600)^6+'sv07'!$T$4*($B56-$R56/3600)^7+'sv07'!$S$4*($B56-$R56/3600)^8-M56*coord!$B$7*R56</f>
        <v>6371.0894927335075</v>
      </c>
      <c r="V56" s="5">
        <f>'sv07'!$AA$5+'sv07'!$Z$5*($B56-$R56/3600)+'sv07'!$Y$5*($B56-$R56/3600)^2+'sv07'!$X$5*($B56-$R56/3600)^3+'sv07'!$W$5*($B56-$R56/3600)^4+'sv07'!$V$5*($B56-$R56/3600)^5+'sv07'!$U$5*($B56-$R56/3600)^6+'sv07'!$T$5*($B56-$R56/3600)^7+'sv07'!$S$5*($B56-$R56/3600)^8</f>
        <v>3121.2022671498776</v>
      </c>
      <c r="W56">
        <f>coord!$B$6*P56/10^6</f>
        <v>-191.16619971150533</v>
      </c>
      <c r="X56">
        <f>SQRT(($T56*1000+coord!$B$7*$R56*$U56*1000-coord!$B$2)^2+($U56*1000-coord!$B$7*$R56*$T56*1000-coord!$C$2)^2+($V56*1000-coord!$D$2)^2)</f>
        <v>22030224.973993614</v>
      </c>
      <c r="Y56" s="3">
        <f>$D56-(X56-$W56)-coord!$E$2</f>
        <v>1.3329724110662937</v>
      </c>
      <c r="Z56" s="3" t="s">
        <v>127</v>
      </c>
      <c r="AA56" s="1" t="s">
        <v>128</v>
      </c>
      <c r="AB56">
        <f>-(T56*1000-coord!$B$2)/$X56</f>
        <v>-0.96687565947160892</v>
      </c>
      <c r="AC56">
        <f>-(U56*1000-coord!$C$2)/$X56</f>
        <v>-0.24722939897177856</v>
      </c>
      <c r="AD56">
        <f>-(V56*1000-coord!$D$2)/$X56</f>
        <v>6.3475793315814877E-2</v>
      </c>
      <c r="AE56">
        <v>1</v>
      </c>
      <c r="BD56">
        <f>SQRT(($T56*1000+coord!$B$7*$R56*$U56*1000-coord!$B$2-BA$50)^2+($U56*1000-coord!$B$7*$R56*$T56*1000-coord!$C$2-BA$51)^2+($V56*1000-coord!$D$2-BA$52)^2)</f>
        <v>22030223.310439724</v>
      </c>
      <c r="BE56" s="3">
        <f t="shared" si="25"/>
        <v>-4.451042560372926</v>
      </c>
      <c r="BF56" s="3" t="s">
        <v>127</v>
      </c>
      <c r="BG56" s="1" t="s">
        <v>128</v>
      </c>
      <c r="BH56" s="1"/>
      <c r="BI56" s="1"/>
      <c r="CG56" s="1"/>
      <c r="CH56" s="1"/>
      <c r="CI56" s="1"/>
    </row>
    <row r="57" spans="1:111">
      <c r="Y57" s="3"/>
      <c r="Z57" s="3">
        <f>AVERAGE($Y50:$Y56)</f>
        <v>-2.6608538718095849</v>
      </c>
      <c r="AA57" s="1">
        <f>SQRT(DEVSQ($Y50:$Y56)/6)</f>
        <v>15.695045538995499</v>
      </c>
      <c r="BE57" s="3"/>
      <c r="BF57" s="3">
        <f>AVERAGE($BE50:$BE56)</f>
        <v>6.7223084932217201E-5</v>
      </c>
      <c r="BG57" s="1">
        <f>SQRT(DEVSQ($BE50:$BE56)/6)</f>
        <v>3.9057644289146394</v>
      </c>
      <c r="BH57" s="1"/>
      <c r="BI57" s="1"/>
      <c r="CG57" s="1"/>
      <c r="CH57" s="1"/>
      <c r="CI57" s="1"/>
    </row>
    <row r="58" spans="1:111">
      <c r="A58">
        <v>14</v>
      </c>
      <c r="B58">
        <f t="shared" ref="B58:B64" si="26">(60-45)/60+30*A58/3600</f>
        <v>0.3666666666666667</v>
      </c>
      <c r="C58">
        <v>2</v>
      </c>
      <c r="D58">
        <f>tetto!D58*coord!$B$13-tetto!G58*coord!$B$14</f>
        <v>22732099.289003</v>
      </c>
      <c r="E58" s="5">
        <f>90-DEGREES(ACOS((coord!$B$2*($T58*1000-coord!$B$2)+coord!$C$2*($U58*1000-coord!$C$2)+coord!$D$2*($V58*1000-coord!$D$2))/(SQRT(coord!$B$2^2+coord!$C$2^2+coord!$D$2^2)*SQRT(($T58*1000-coord!$B$2)^2+($U58*1000-coord!$C$2)^2+($V58*1000-coord!$D$2)^2))))</f>
        <v>29.070093295252747</v>
      </c>
      <c r="F58">
        <f>(coord!$C$2*($V58*1000-coord!$D$2)-coord!$D$2*($U58*1000-coord!$C$2))/(SQRT(coord!$B$2^2+coord!$C$2^2+coord!$D$2^2)*SQRT(($T58*1000-coord!$B$2)^2+($U58*1000-coord!$C$2)^2+($V58*1000-coord!$D$2)^2))</f>
        <v>0.58848718349177731</v>
      </c>
      <c r="G58">
        <f>(-coord!$B$2*($V58*1000-coord!$D$2)+coord!$D$2*($T58*1000-coord!$B$2))/(SQRT(coord!$B$2^2+coord!$C$2^2+coord!$D$2^2)*SQRT(($T58*1000-coord!$B$2)^2+($U58*1000-coord!$C$2)^2+($V58*1000-coord!$D$2)^2))</f>
        <v>-0.42837893086303458</v>
      </c>
      <c r="H58">
        <f>(coord!$B$2*($U58*1000-coord!$C$2)-coord!$C$2*($T58*1000-coord!$B$2))/(SQRT(coord!$B$2^2+coord!$C$2^2+coord!$D$2^2)*SQRT(($T58*1000-coord!$B$2)^2+($U58*1000-coord!$C$2)^2+($V58*1000-coord!$D$2)^2))</f>
        <v>-0.48383437190921907</v>
      </c>
      <c r="I58">
        <f t="shared" si="5"/>
        <v>-0.68687077558803833</v>
      </c>
      <c r="J58">
        <f t="shared" si="6"/>
        <v>-0.54048551993944016</v>
      </c>
      <c r="K58">
        <f t="shared" si="7"/>
        <v>-2.3050729076388166E-3</v>
      </c>
      <c r="L58">
        <f t="shared" ref="L58:L64" si="27">90+DEGREES(ATAN2(I58,J58))</f>
        <v>-51.801467273891546</v>
      </c>
      <c r="M58" s="5">
        <f>'sv02'!$AA$3+'sv02'!$Z$3*($B58)+'sv02'!$Y$3*($B58)^2+'sv02'!$X$3*($B58)^3+'sv02'!$W$3*($B58)^4+'sv02'!$V$3*($B58)^5+'sv02'!$U$3*($B58)^6+'sv02'!$T$3*($B58)^7+'sv02'!$S$3*($B58)^8</f>
        <v>6695.0528534361965</v>
      </c>
      <c r="N58" s="5">
        <f>'sv02'!$AA$4+'sv02'!$Z$4*($B58)+'sv02'!$Y$4*($B58)^2+'sv02'!$X$4*($B58)^3+'sv02'!$W$4*($B58)^4+'sv02'!$V$4*($B58)^5+'sv02'!$U$4*($B58)^6+'sv02'!$T$4*($B58)^7+'sv02'!$S$4*($B58)^8</f>
        <v>-14600.566026853481</v>
      </c>
      <c r="O58" s="5">
        <f>'sv02'!$AA$5+'sv02'!$Z$5*($B58)+'sv02'!$Y$5*($B58)^2+'sv02'!$X$5*($B58)^3+'sv02'!$W$5*($B58)^4+'sv02'!$V$5*($B58)^5+'sv02'!$U$5*($B58)^6+'sv02'!$T$5*($B58)^7+'sv02'!$S$5*($B58)^8</f>
        <v>21069.959526649294</v>
      </c>
      <c r="P58" s="5">
        <f>'sv02'!$AA$6+'sv02'!$Z$6*$B58+'sv02'!$Y$6*$B58^2+'sv02'!$X$6*$B58^3+'sv02'!$W$6*$B58^4+'sv02'!$V$6*$B58^5+'sv02'!$U$6*$B58^6+'sv02'!$T$6*$B58^7+'sv02'!$S$6*$B58^8</f>
        <v>257.59115397673827</v>
      </c>
      <c r="R58">
        <f>SQRT(($M58*1000-coord!$B$2)^2+($N58*1000-coord!$C$2)^2+($O58*1000-coord!$D$2)^2)/coord!$B$6</f>
        <v>7.6083556125958449E-2</v>
      </c>
      <c r="T58" s="5">
        <f>'sv02'!$AA$3+'sv02'!$Z$3*($B58-$R58/3600)+'sv02'!$Y$3*($B58-$R58/3600)^2+'sv02'!$X$3*($B58-$R58/3600)^3+'sv02'!$W$3*($B58-$R58/3600)^4+'sv02'!$V$3*($B58-$R58/3600)^5+'sv02'!$U$3*($B58-$R58/3600)^6+'sv02'!$T$3*($B58-$R58/3600)^7+'sv02'!$S$3*($B58-$R58/3600)^8+N58*coord!$B$7*R58</f>
        <v>6694.7696008854045</v>
      </c>
      <c r="U58" s="5">
        <f>'sv02'!$AA$4+'sv02'!$Z$4*($B58-$R58/3600)+'sv02'!$Y$4*($B58-$R58/3600)^2+'sv02'!$X$4*($B58-$R58/3600)^3+'sv02'!$W$4*($B58-$R58/3600)^4+'sv02'!$V$4*($B58-$R58/3600)^5+'sv02'!$U$4*($B58-$R58/3600)^6+'sv02'!$T$4*($B58-$R58/3600)^7+'sv02'!$S$4*($B58-$R58/3600)^8-M58*coord!$B$7*R58</f>
        <v>-14600.637875782015</v>
      </c>
      <c r="V58" s="5">
        <f>'sv02'!$AA$5+'sv02'!$Z$5*($B58-$R58/3600)+'sv02'!$Y$5*($B58-$R58/3600)^2+'sv02'!$X$5*($B58-$R58/3600)^3+'sv02'!$W$5*($B58-$R58/3600)^4+'sv02'!$V$5*($B58-$R58/3600)^5+'sv02'!$U$5*($B58-$R58/3600)^6+'sv02'!$T$5*($B58-$R58/3600)^7+'sv02'!$S$5*($B58-$R58/3600)^8</f>
        <v>21070.003169617728</v>
      </c>
      <c r="W58">
        <f>coord!$B$6*P58/10^6</f>
        <v>77223.885209742846</v>
      </c>
      <c r="X58">
        <f>SQRT(($T58*1000+coord!$B$7*$R58*$U58*1000-coord!$B$2)^2+($U58*1000-coord!$B$7*$R58*$T58*1000-coord!$C$2)^2+($V58*1000-coord!$D$2)^2)</f>
        <v>22809345.331266236</v>
      </c>
      <c r="Y58" s="3">
        <f>$D58-(X58-$W58)-coord!$E$2</f>
        <v>-22.157053492963314</v>
      </c>
      <c r="Z58" s="3"/>
      <c r="AB58">
        <f>-(T58*1000-coord!$B$2)/$X58</f>
        <v>-0.1010941522694459</v>
      </c>
      <c r="AC58">
        <f>-(U58*1000-coord!$C$2)/$X58</f>
        <v>0.68065119202262303</v>
      </c>
      <c r="AD58">
        <f>-(V58*1000-coord!$D$2)/$X58</f>
        <v>-0.72559797990479846</v>
      </c>
      <c r="AE58">
        <v>1</v>
      </c>
      <c r="AG58">
        <f t="array" ref="AG58:AM61">TRANSPOSE(AB58:AE64)</f>
        <v>-0.1010941522694459</v>
      </c>
      <c r="AH58">
        <v>-0.22209279383021535</v>
      </c>
      <c r="AI58">
        <v>-0.13960340272638294</v>
      </c>
      <c r="AJ58">
        <v>-0.7995729732323531</v>
      </c>
      <c r="AK58">
        <v>-0.42796403067731514</v>
      </c>
      <c r="AL58">
        <v>-0.52216732475545824</v>
      </c>
      <c r="AM58">
        <v>-0.96718413500597</v>
      </c>
      <c r="AO58">
        <f t="array" ref="AO58:AR61">MMULT(AG58:AM61,AB58:AE64)</f>
        <v>2.1096083638738907</v>
      </c>
      <c r="AP58">
        <v>0.34973040553861379</v>
      </c>
      <c r="AQ58">
        <v>1.1230986132882035</v>
      </c>
      <c r="AR58">
        <v>-3.1796788124971407</v>
      </c>
      <c r="AT58">
        <f t="array" ref="AT58:AW61">MINVERSE(AO58:AR61)</f>
        <v>2.5041473183553009</v>
      </c>
      <c r="AU58">
        <v>-5.3550913583369587E-2</v>
      </c>
      <c r="AV58">
        <v>1.4483953877964271</v>
      </c>
      <c r="AW58">
        <v>1.8526187528202547</v>
      </c>
      <c r="AY58">
        <f t="array" ref="AY58:AY61">MMULT(AG58:AM61,Y58:Y64)</f>
        <v>3.093745346028363</v>
      </c>
      <c r="BA58">
        <f t="array" ref="BA58:BA61">MMULT(AT58:AW61,AY58:AY61)</f>
        <v>6.801110105591853</v>
      </c>
      <c r="BD58">
        <f>SQRT(($T58*1000+coord!$B$7*$R58*$U58*1000-coord!$B$2-BA$58)^2+($U58*1000-coord!$B$7*$R58*$T58*1000-coord!$C$2-BA$59)^2+($V58*1000-coord!$D$2-BA$60)^2)</f>
        <v>22809322.336710207</v>
      </c>
      <c r="BE58" s="3">
        <f>$D58-(BD58-$W58)-BA$61</f>
        <v>-4.0046771130343188</v>
      </c>
      <c r="BG58" s="1">
        <f>coord!$B$2+$BA58</f>
        <v>4388884.971910106</v>
      </c>
      <c r="BH58" s="1">
        <f>coord!$C$2+$BA59</f>
        <v>924548.56026701478</v>
      </c>
      <c r="BI58" s="1">
        <f>coord!$D$2+$BA60</f>
        <v>4519598.7055582292</v>
      </c>
      <c r="BJ58" s="1">
        <f>coord!$E$2+$BA61</f>
        <v>4.842179648466896</v>
      </c>
      <c r="BK58" s="8">
        <f>lat($BG58,$BH58,$BI58)</f>
        <v>45.411223120348396</v>
      </c>
      <c r="BL58" s="8">
        <f>lon($BG58,$BH58,$BI58)</f>
        <v>11.895817960221283</v>
      </c>
      <c r="BM58" s="6">
        <f>h($BG58,$BH58,$BI58)</f>
        <v>71.088484575971961</v>
      </c>
      <c r="BO58">
        <f>grado($BK58)</f>
        <v>45</v>
      </c>
      <c r="BP58">
        <f>MINUTOprimo($BK58)</f>
        <v>24</v>
      </c>
      <c r="BQ58">
        <f>MINUTOsecondo($BK58)</f>
        <v>40.403233254224915</v>
      </c>
      <c r="BR58">
        <f>grado($BL58)</f>
        <v>11</v>
      </c>
      <c r="BS58">
        <f>MINUTOprimo($BL58)</f>
        <v>53</v>
      </c>
      <c r="BT58">
        <f>MINUTOsecondo($BL58)</f>
        <v>44.944656796618858</v>
      </c>
      <c r="BV58">
        <f>-SIN(RADIANS(BK58))*COS(RADIANS(BL58))</f>
        <v>-0.69686916931190268</v>
      </c>
      <c r="BW58">
        <f>-SIN(RADIANS(BL58))</f>
        <v>-0.20613276312081036</v>
      </c>
      <c r="BX58">
        <f>COS(RADIANS(BK58))*COS(RADIANS(BL58))</f>
        <v>0.68693714765669689</v>
      </c>
      <c r="BZ58" t="s">
        <v>93</v>
      </c>
      <c r="CA58">
        <f t="array" ref="CA58:CC60">MINVERSE(BV58:BX60)</f>
        <v>-0.69686916931190268</v>
      </c>
      <c r="CB58">
        <v>-0.14680024455080273</v>
      </c>
      <c r="CC58">
        <v>0.70201356757712552</v>
      </c>
      <c r="CD58">
        <v>0</v>
      </c>
      <c r="CE58" s="1">
        <f t="array" ref="CE58:CE60">MMULT(CA58:CC60,BA58:BA60)</f>
        <v>5.7620567116707804</v>
      </c>
      <c r="CG58" s="1">
        <f t="array" ref="CG58:CI58">TRANSPOSE(CE58:CE60)</f>
        <v>5.7620567116707804</v>
      </c>
      <c r="CH58" s="1">
        <v>-22.589846938281188</v>
      </c>
      <c r="CI58" s="1">
        <v>8.9673447315101082</v>
      </c>
      <c r="CK58">
        <f t="array" ref="CK58:CN61">MMULT(CA58:CD61,AT58:AW61)</f>
        <v>-0.72040856091770467</v>
      </c>
      <c r="CL58">
        <v>0.17065664550125337</v>
      </c>
      <c r="CM58">
        <v>0.61837874520044545</v>
      </c>
      <c r="CN58">
        <v>-2.1614329999556148E-2</v>
      </c>
      <c r="CP58">
        <f t="array" ref="CP58:CS61">TRANSPOSE(CA58:CD61)</f>
        <v>-0.69686916931190268</v>
      </c>
      <c r="CQ58">
        <v>-0.20613276312081036</v>
      </c>
      <c r="CR58">
        <v>0.68693714765669689</v>
      </c>
      <c r="CS58">
        <v>0</v>
      </c>
      <c r="CU58" s="5">
        <f t="array" ref="CU58:CX61">MMULT(CK58:CN61,CP58:CS61)</f>
        <v>0.91108834715013143</v>
      </c>
      <c r="CV58" s="5">
        <v>0.31549143632258841</v>
      </c>
      <c r="CW58" s="5">
        <v>-2.9793205723586846E-2</v>
      </c>
      <c r="CX58" s="5">
        <v>-2.1614329999556148E-2</v>
      </c>
      <c r="CZ58" s="3">
        <f>SQRT(CU58+CV59)</f>
        <v>1.2241021826710852</v>
      </c>
      <c r="DA58" s="3">
        <f>CW60</f>
        <v>3.8647777079852164</v>
      </c>
      <c r="DB58" s="3">
        <f>CX61</f>
        <v>1.8898619215770083</v>
      </c>
      <c r="DC58" s="3">
        <f>BG65</f>
        <v>3.0268729284202776</v>
      </c>
      <c r="DD58">
        <v>6</v>
      </c>
      <c r="DE58" s="6">
        <f>DB58*DD58*DC58</f>
        <v>34.322231333242634</v>
      </c>
      <c r="DF58">
        <v>5.33</v>
      </c>
      <c r="DG58" s="6">
        <f>DC58*DF58*SQRT(0.5*(CU58+CV59)+SQRT((0.5*(CU58-CV59))^2+CV58^2))</f>
        <v>16.949949699778458</v>
      </c>
    </row>
    <row r="59" spans="1:111">
      <c r="A59">
        <v>14</v>
      </c>
      <c r="B59">
        <f t="shared" si="26"/>
        <v>0.3666666666666667</v>
      </c>
      <c r="C59">
        <v>23</v>
      </c>
      <c r="D59">
        <f>tetto!D59*coord!$B$13-tetto!G59*coord!$B$14</f>
        <v>20995784.714322884</v>
      </c>
      <c r="E59" s="5">
        <f>90-DEGREES(ACOS((coord!$B$2*($T59*1000-coord!$B$2)+coord!$C$2*($U59*1000-coord!$C$2)+coord!$D$2*($V59*1000-coord!$D$2))/(SQRT(coord!$B$2^2+coord!$C$2^2+coord!$D$2^2)*SQRT(($T59*1000-coord!$B$2)^2+($U59*1000-coord!$C$2)^2+($V59*1000-coord!$D$2)^2))))</f>
        <v>53.766034166904184</v>
      </c>
      <c r="F59">
        <f>(coord!$C$2*($V59*1000-coord!$D$2)-coord!$D$2*($U59*1000-coord!$C$2))/(SQRT(coord!$B$2^2+coord!$C$2^2+coord!$D$2^2)*SQRT(($T59*1000-coord!$B$2)^2+($U59*1000-coord!$C$2)^2+($V59*1000-coord!$D$2)^2))</f>
        <v>-0.26816625710725694</v>
      </c>
      <c r="G59">
        <f>(-coord!$B$2*($V59*1000-coord!$D$2)+coord!$D$2*($T59*1000-coord!$B$2))/(SQRT(coord!$B$2^2+coord!$C$2^2+coord!$D$2^2)*SQRT(($T59*1000-coord!$B$2)^2+($U59*1000-coord!$C$2)^2+($V59*1000-coord!$D$2)^2))</f>
        <v>-0.40036143554395204</v>
      </c>
      <c r="H59">
        <f>(coord!$B$2*($U59*1000-coord!$C$2)-coord!$C$2*($T59*1000-coord!$B$2))/(SQRT(coord!$B$2^2+coord!$C$2^2+coord!$D$2^2)*SQRT(($T59*1000-coord!$B$2)^2+($U59*1000-coord!$C$2)^2+($V59*1000-coord!$D$2)^2))</f>
        <v>0.34231243995798027</v>
      </c>
      <c r="I59">
        <f t="shared" si="5"/>
        <v>0.48595790743188172</v>
      </c>
      <c r="J59">
        <f t="shared" si="6"/>
        <v>-0.33648546950062497</v>
      </c>
      <c r="K59">
        <f t="shared" si="7"/>
        <v>1.6334292412047702E-3</v>
      </c>
      <c r="L59">
        <f t="shared" si="27"/>
        <v>55.300616722430149</v>
      </c>
      <c r="M59" s="5">
        <f>'sv23'!$AA$3+'sv23'!$Z$3*($B59)+'sv23'!$Y$3*($B59)^2+'sv23'!$X$3*($B59)^3+'sv23'!$W$3*($B59)^4+'sv23'!$V$3*($B59)^5+'sv23'!$U$3*($B59)^6+'sv23'!$T$3*($B59)^7+'sv23'!$S$3*($B59)^8</f>
        <v>9076.3392866882059</v>
      </c>
      <c r="N59" s="5">
        <f>'sv23'!$AA$4+'sv23'!$Z$4*($B59)+'sv23'!$Y$4*($B59)^2+'sv23'!$X$4*($B59)^3+'sv23'!$W$4*($B59)^4+'sv23'!$V$4*($B59)^5+'sv23'!$U$4*($B59)^6+'sv23'!$T$4*($B59)^7+'sv23'!$S$4*($B59)^8</f>
        <v>12394.467377763285</v>
      </c>
      <c r="O59" s="5">
        <f>'sv23'!$AA$5+'sv23'!$Z$5*($B59)+'sv23'!$Y$5*($B59)^2+'sv23'!$X$5*($B59)^3+'sv23'!$W$5*($B59)^4+'sv23'!$V$5*($B59)^5+'sv23'!$U$5*($B59)^6+'sv23'!$T$5*($B59)^7+'sv23'!$S$5*($B59)^8</f>
        <v>21606.565409585455</v>
      </c>
      <c r="P59" s="5">
        <f>'sv23'!$AA$6+'sv23'!$Z$6*$B59+'sv23'!$Y$6*$B59^2+'sv23'!$X$6*$B59^3+'sv23'!$W$6*$B59^4+'sv23'!$V$6*$B59^5+'sv23'!$U$6*$B59^6+'sv23'!$T$6*$B59^7+'sv23'!$S$6*$B59^8</f>
        <v>370.05703211492738</v>
      </c>
      <c r="R59">
        <f>SQRT(($M59*1000-coord!$B$2)^2+($N59*1000-coord!$C$2)^2+($O59*1000-coord!$D$2)^2)/coord!$B$6</f>
        <v>7.0404596930801963E-2</v>
      </c>
      <c r="T59" s="5">
        <f>'sv23'!$AA$3+'sv23'!$Z$3*($B59-$R59/3600)+'sv23'!$Y$3*($B59-$R59/3600)^2+'sv23'!$X$3*($B59-$R59/3600)^3+'sv23'!$W$3*($B59-$R59/3600)^4+'sv23'!$V$3*($B59-$R59/3600)^5+'sv23'!$U$3*($B59-$R59/3600)^6+'sv23'!$T$3*($B59-$R59/3600)^7+'sv23'!$S$3*($B59-$R59/3600)^8+N59*coord!$B$7*R59</f>
        <v>9076.5285929363399</v>
      </c>
      <c r="U59" s="5">
        <f>'sv23'!$AA$4+'sv23'!$Z$4*($B59-$R59/3600)+'sv23'!$Y$4*($B59-$R59/3600)^2+'sv23'!$X$4*($B59-$R59/3600)^3+'sv23'!$W$4*($B59-$R59/3600)^4+'sv23'!$V$4*($B59-$R59/3600)^5+'sv23'!$U$4*($B59-$R59/3600)^6+'sv23'!$T$4*($B59-$R59/3600)^7+'sv23'!$S$4*($B59-$R59/3600)^8-M59*coord!$B$7*R59</f>
        <v>12394.273291451755</v>
      </c>
      <c r="V59" s="5">
        <f>'sv23'!$AA$5+'sv23'!$Z$5*($B59-$R59/3600)+'sv23'!$Y$5*($B59-$R59/3600)^2+'sv23'!$X$5*($B59-$R59/3600)^3+'sv23'!$W$5*($B59-$R59/3600)^4+'sv23'!$V$5*($B59-$R59/3600)^5+'sv23'!$U$5*($B59-$R59/3600)^6+'sv23'!$T$5*($B59-$R59/3600)^7+'sv23'!$S$5*($B59-$R59/3600)^8</f>
        <v>21606.599364873589</v>
      </c>
      <c r="W59">
        <f>coord!$B$6*P59/10^6</f>
        <v>110940.30725791902</v>
      </c>
      <c r="X59">
        <f>SQRT(($T59*1000+coord!$B$7*$R59*$U59*1000-coord!$B$2)^2+($U59*1000-coord!$B$7*$R59*$T59*1000-coord!$C$2)^2+($V59*1000-coord!$D$2)^2)</f>
        <v>21106720.03937209</v>
      </c>
      <c r="Y59" s="3">
        <f>$D59-(X59-$W59)-coord!$E$2</f>
        <v>4.982208713889122</v>
      </c>
      <c r="Z59" s="3"/>
      <c r="AB59">
        <f>-(T59*1000-coord!$B$2)/$X59</f>
        <v>-0.22209279383021535</v>
      </c>
      <c r="AC59">
        <f>-(U59*1000-coord!$C$2)/$X59</f>
        <v>-0.54341475401466355</v>
      </c>
      <c r="AD59">
        <f>-(V59*1000-coord!$D$2)/$X59</f>
        <v>-0.8095531214087166</v>
      </c>
      <c r="AE59">
        <v>1</v>
      </c>
      <c r="AG59">
        <v>0.68065119202262303</v>
      </c>
      <c r="AH59">
        <v>-0.54341475401466355</v>
      </c>
      <c r="AI59">
        <v>0.78817910972579064</v>
      </c>
      <c r="AJ59">
        <v>0.38449460474768771</v>
      </c>
      <c r="AK59">
        <v>-0.9002058735707722</v>
      </c>
      <c r="AL59">
        <v>-0.17262976318683776</v>
      </c>
      <c r="AM59">
        <v>-0.24805864307779399</v>
      </c>
      <c r="AO59">
        <v>0.34973040553861379</v>
      </c>
      <c r="AP59">
        <v>2.4293527905257126</v>
      </c>
      <c r="AQ59">
        <v>-0.50078383404138138</v>
      </c>
      <c r="AR59">
        <v>-1.0984127353966117E-2</v>
      </c>
      <c r="AT59">
        <v>-5.3550913583369143E-2</v>
      </c>
      <c r="AU59">
        <v>0.47971516840599593</v>
      </c>
      <c r="AV59">
        <v>0.29025218070427289</v>
      </c>
      <c r="AW59">
        <v>0.11975465740669929</v>
      </c>
      <c r="AY59">
        <v>-55.501050783235044</v>
      </c>
      <c r="BA59">
        <v>-21.6529329852129</v>
      </c>
      <c r="BD59">
        <f>SQRT(($T59*1000+coord!$B$7*$R59*$U59*1000-coord!$B$2-BA$58)^2+($U59*1000-coord!$B$7*$R59*$T59*1000-coord!$C$2-BA$59)^2+($V59*1000-coord!$D$2-BA$60)^2)</f>
        <v>21106721.850706536</v>
      </c>
      <c r="BE59" s="3">
        <f t="shared" ref="BE59:BE64" si="28">$D59-(BD59-$W59)-BA$61</f>
        <v>-1.6713053806503524</v>
      </c>
      <c r="BG59" s="1"/>
      <c r="BH59" s="1"/>
      <c r="BI59" s="1"/>
      <c r="BV59">
        <f>-SIN(RADIANS(BK58))*SIN(RADIANS(BL58))</f>
        <v>-0.14680024455080273</v>
      </c>
      <c r="BW59">
        <f>COS(RADIANS(BL58))</f>
        <v>0.97852403341368166</v>
      </c>
      <c r="BX59">
        <f>COS(RADIANS(BK58))*SIN(RADIANS(BL58))</f>
        <v>0.14470799643297058</v>
      </c>
      <c r="BZ59" t="s">
        <v>94</v>
      </c>
      <c r="CA59">
        <v>-0.20613276312081036</v>
      </c>
      <c r="CB59">
        <v>0.97852403341368155</v>
      </c>
      <c r="CC59">
        <v>5.6729471464897465E-17</v>
      </c>
      <c r="CD59">
        <v>0</v>
      </c>
      <c r="CE59" s="1">
        <v>-22.589846938281188</v>
      </c>
      <c r="CG59" s="1"/>
      <c r="CH59" s="1"/>
      <c r="CI59" s="1"/>
      <c r="CK59">
        <v>-0.56858766194673149</v>
      </c>
      <c r="CL59">
        <v>0.48045141926294233</v>
      </c>
      <c r="CM59">
        <v>-1.4543008808053124E-2</v>
      </c>
      <c r="CN59">
        <v>-0.26470261214259155</v>
      </c>
      <c r="CP59">
        <v>-0.14680024455080273</v>
      </c>
      <c r="CQ59">
        <v>0.97852403341368155</v>
      </c>
      <c r="CR59">
        <v>0.14470799643297058</v>
      </c>
      <c r="CS59">
        <v>0</v>
      </c>
      <c r="CU59" s="5">
        <v>0.31549143632258858</v>
      </c>
      <c r="CV59" s="5">
        <v>0.58733780646998313</v>
      </c>
      <c r="CW59" s="5">
        <v>-0.33141582550197568</v>
      </c>
      <c r="CX59" s="5">
        <v>-0.26470261214259155</v>
      </c>
    </row>
    <row r="60" spans="1:111">
      <c r="A60">
        <v>14</v>
      </c>
      <c r="B60">
        <f t="shared" si="26"/>
        <v>0.3666666666666667</v>
      </c>
      <c r="C60">
        <v>10</v>
      </c>
      <c r="D60">
        <f>tetto!D60*coord!$B$13-tetto!G60*coord!$B$14</f>
        <v>23099952.569185488</v>
      </c>
      <c r="E60" s="5">
        <f>90-DEGREES(ACOS((coord!$B$2*($T60*1000-coord!$B$2)+coord!$C$2*($U60*1000-coord!$C$2)+coord!$D$2*($V60*1000-coord!$D$2))/(SQRT(coord!$B$2^2+coord!$C$2^2+coord!$D$2^2)*SQRT(($T60*1000-coord!$B$2)^2+($U60*1000-coord!$C$2)^2+($V60*1000-coord!$D$2)^2))))</f>
        <v>24.031267648626368</v>
      </c>
      <c r="F60">
        <f>(coord!$C$2*($V60*1000-coord!$D$2)-coord!$D$2*($U60*1000-coord!$C$2))/(SQRT(coord!$B$2^2+coord!$C$2^2+coord!$D$2^2)*SQRT(($T60*1000-coord!$B$2)^2+($U60*1000-coord!$C$2)^2+($V60*1000-coord!$D$2)^2))</f>
        <v>0.64648665284801421</v>
      </c>
      <c r="G60">
        <f>(-coord!$B$2*($V60*1000-coord!$D$2)+coord!$D$2*($T60*1000-coord!$B$2))/(SQRT(coord!$B$2^2+coord!$C$2^2+coord!$D$2^2)*SQRT(($T60*1000-coord!$B$2)^2+($U60*1000-coord!$C$2)^2+($V60*1000-coord!$D$2)^2))</f>
        <v>-0.31406147662756689</v>
      </c>
      <c r="H60">
        <f>(coord!$B$2*($U60*1000-coord!$C$2)-coord!$C$2*($T60*1000-coord!$B$2))/(SQRT(coord!$B$2^2+coord!$C$2^2+coord!$D$2^2)*SQRT(($T60*1000-coord!$B$2)^2+($U60*1000-coord!$C$2)^2+($V60*1000-coord!$D$2)^2))</f>
        <v>-0.5635423223123639</v>
      </c>
      <c r="I60">
        <f t="shared" si="5"/>
        <v>-0.80002670354408556</v>
      </c>
      <c r="J60">
        <f t="shared" si="6"/>
        <v>-0.44057872641735663</v>
      </c>
      <c r="K60">
        <f t="shared" si="7"/>
        <v>-2.6854970066662043E-3</v>
      </c>
      <c r="L60">
        <f t="shared" si="27"/>
        <v>-61.158202052323247</v>
      </c>
      <c r="M60" s="5">
        <f>'sv10'!$AA$3+'sv10'!$Z$3*($B60)+'sv10'!$Y$3*($B60)^2+'sv10'!$X$3*($B60)^3+'sv10'!$W$3*($B60)^4+'sv10'!$V$3*($B60)^5+'sv10'!$U$3*($B60)^6+'sv10'!$T$3*($B60)^7+'sv10'!$S$3*($B60)^8</f>
        <v>7612.0853769348578</v>
      </c>
      <c r="N60" s="5">
        <f>'sv10'!$AA$4+'sv10'!$Z$4*($B60)+'sv10'!$Y$4*($B60)^2+'sv10'!$X$4*($B60)^3+'sv10'!$W$4*($B60)^4+'sv10'!$V$4*($B60)^5+'sv10'!$U$4*($B60)^6+'sv10'!$T$4*($B60)^7+'sv10'!$S$4*($B60)^8</f>
        <v>-17271.971436186286</v>
      </c>
      <c r="O60" s="5">
        <f>'sv10'!$AA$5+'sv10'!$Z$5*($B60)+'sv10'!$Y$5*($B60)^2+'sv10'!$X$5*($B60)^3+'sv10'!$W$5*($B60)^4+'sv10'!$V$5*($B60)^5+'sv10'!$U$5*($B60)^6+'sv10'!$T$5*($B60)^7+'sv10'!$S$5*($B60)^8</f>
        <v>18358.158267309092</v>
      </c>
      <c r="P60" s="5">
        <f>'sv10'!$AA$6+'sv10'!$Z$6*$B60+'sv10'!$Y$6*$B60^2+'sv10'!$X$6*$B60^3+'sv10'!$W$6*$B60^4+'sv10'!$V$6*$B60^5+'sv10'!$U$6*$B60^6+'sv10'!$T$6*$B60^7+'sv10'!$S$6*$B60^8</f>
        <v>-43.001046156652968</v>
      </c>
      <c r="R60">
        <f>SQRT(($M60*1000-coord!$B$2)^2+($N60*1000-coord!$C$2)^2+($O60*1000-coord!$D$2)^2)/coord!$B$6</f>
        <v>7.7009916878798046E-2</v>
      </c>
      <c r="T60" s="5">
        <f>'sv10'!$AA$3+'sv10'!$Z$3*($B60-$R60/3600)+'sv10'!$Y$3*($B60-$R60/3600)^2+'sv10'!$X$3*($B60-$R60/3600)^3+'sv10'!$W$3*($B60-$R60/3600)^4+'sv10'!$V$3*($B60-$R60/3600)^5+'sv10'!$U$3*($B60-$R60/3600)^6+'sv10'!$T$3*($B60-$R60/3600)^7+'sv10'!$S$3*($B60-$R60/3600)^8+N60*coord!$B$7*R60</f>
        <v>7611.912768625446</v>
      </c>
      <c r="U60" s="5">
        <f>'sv10'!$AA$4+'sv10'!$Z$4*($B60-$R60/3600)+'sv10'!$Y$4*($B60-$R60/3600)^2+'sv10'!$X$4*($B60-$R60/3600)^3+'sv10'!$W$4*($B60-$R60/3600)^4+'sv10'!$V$4*($B60-$R60/3600)^5+'sv10'!$U$4*($B60-$R60/3600)^6+'sv10'!$T$4*($B60-$R60/3600)^7+'sv10'!$S$4*($B60-$R60/3600)^8-M60*coord!$B$7*R60</f>
        <v>-17272.18208880816</v>
      </c>
      <c r="V60" s="5">
        <f>'sv10'!$AA$5+'sv10'!$Z$5*($B60-$R60/3600)+'sv10'!$Y$5*($B60-$R60/3600)^2+'sv10'!$X$5*($B60-$R60/3600)^3+'sv10'!$W$5*($B60-$R60/3600)^4+'sv10'!$V$5*($B60-$R60/3600)^5+'sv10'!$U$5*($B60-$R60/3600)^6+'sv10'!$T$5*($B60-$R60/3600)^7+'sv10'!$S$5*($B60-$R60/3600)^8</f>
        <v>18358.030283334501</v>
      </c>
      <c r="W60">
        <f>coord!$B$6*P60/10^6</f>
        <v>-12891.389323874448</v>
      </c>
      <c r="X60">
        <f>SQRT(($T60*1000+coord!$B$7*$R60*$U60*1000-coord!$B$2)^2+($U60*1000-coord!$B$7*$R60*$T60*1000-coord!$C$2)^2+($V60*1000-coord!$D$2)^2)</f>
        <v>23087077.641957361</v>
      </c>
      <c r="Y60" s="3">
        <f>$D60-(X60-$W60)-coord!$E$2</f>
        <v>-16.462095748633146</v>
      </c>
      <c r="Z60" s="3"/>
      <c r="AB60">
        <f>-(T60*1000-coord!$B$2)/$X60</f>
        <v>-0.13960340272638294</v>
      </c>
      <c r="AC60">
        <f>-(U60*1000-coord!$C$2)/$X60</f>
        <v>0.78817910972579064</v>
      </c>
      <c r="AD60">
        <f>-(V60*1000-coord!$D$2)/$X60</f>
        <v>-0.59940206481071356</v>
      </c>
      <c r="AE60">
        <v>1</v>
      </c>
      <c r="AG60">
        <v>-0.72559797990479846</v>
      </c>
      <c r="AH60">
        <v>-0.8095531214087166</v>
      </c>
      <c r="AI60">
        <v>-0.59940206481071356</v>
      </c>
      <c r="AJ60">
        <v>-0.46135212018838112</v>
      </c>
      <c r="AK60">
        <v>-8.0485421863110002E-2</v>
      </c>
      <c r="AL60">
        <v>-0.83518883105792652</v>
      </c>
      <c r="AM60">
        <v>5.4971384834931677E-2</v>
      </c>
      <c r="AO60">
        <v>1.1230986132882035</v>
      </c>
      <c r="AP60">
        <v>-0.50078383404138138</v>
      </c>
      <c r="AQ60">
        <v>2.4610374387332405</v>
      </c>
      <c r="AR60">
        <v>-3.4566081543987148</v>
      </c>
      <c r="AT60">
        <v>1.4483953877964284</v>
      </c>
      <c r="AU60">
        <v>0.2902521807042725</v>
      </c>
      <c r="AV60">
        <v>2.3793413748440351</v>
      </c>
      <c r="AW60">
        <v>1.8332958702852347</v>
      </c>
      <c r="AY60">
        <v>27.415955504478891</v>
      </c>
      <c r="BA60">
        <v>10.431258229318267</v>
      </c>
      <c r="BD60">
        <f>SQRT(($T60*1000+coord!$B$7*$R60*$U60*1000-coord!$B$2-BA$58)^2+($U60*1000-coord!$B$7*$R60*$T60*1000-coord!$C$2-BA$59)^2+($V60*1000-coord!$D$2-BA$60)^2)</f>
        <v>23087053.373581324</v>
      </c>
      <c r="BE60" s="3">
        <f t="shared" si="28"/>
        <v>2.9641006403784047</v>
      </c>
      <c r="BG60" s="1"/>
      <c r="BH60" s="1"/>
      <c r="BI60" s="1"/>
      <c r="BV60">
        <f>COS(RADIANS(BK58))</f>
        <v>0.70201356757712541</v>
      </c>
      <c r="BW60">
        <v>0</v>
      </c>
      <c r="BX60">
        <f>SIN(RADIANS(BK58))</f>
        <v>0.71216357035279243</v>
      </c>
      <c r="BZ60" t="s">
        <v>95</v>
      </c>
      <c r="CA60">
        <v>0.68693714765669689</v>
      </c>
      <c r="CB60">
        <v>0.14470799643297058</v>
      </c>
      <c r="CC60">
        <v>0.71216357035279232</v>
      </c>
      <c r="CD60">
        <v>0</v>
      </c>
      <c r="CE60" s="1">
        <v>8.9673447315101082</v>
      </c>
      <c r="CG60" s="1"/>
      <c r="CH60" s="1"/>
      <c r="CI60" s="1"/>
      <c r="CK60">
        <v>2.7439370014269739</v>
      </c>
      <c r="CL60">
        <v>0.23933953836020513</v>
      </c>
      <c r="CM60">
        <v>2.7314386564990585</v>
      </c>
      <c r="CN60">
        <v>2.5955686307898556</v>
      </c>
      <c r="CP60">
        <v>0.70201356757712552</v>
      </c>
      <c r="CQ60">
        <v>5.6729471464897465E-17</v>
      </c>
      <c r="CR60">
        <v>0.71216357035279232</v>
      </c>
      <c r="CS60">
        <v>0</v>
      </c>
      <c r="CU60" s="5">
        <v>-2.9793205723588123E-2</v>
      </c>
      <c r="CV60" s="5">
        <v>-0.3314158255019764</v>
      </c>
      <c r="CW60" s="5">
        <v>3.8647777079852164</v>
      </c>
      <c r="CX60" s="5">
        <v>2.5955686307898556</v>
      </c>
    </row>
    <row r="61" spans="1:111">
      <c r="A61">
        <v>14</v>
      </c>
      <c r="B61">
        <f t="shared" si="26"/>
        <v>0.3666666666666667</v>
      </c>
      <c r="C61">
        <v>4</v>
      </c>
      <c r="D61">
        <f>tetto!D61*coord!$B$13-tetto!G61*coord!$B$14</f>
        <v>21103286.204109486</v>
      </c>
      <c r="E61" s="5">
        <f>90-DEGREES(ACOS((coord!$B$2*($T61*1000-coord!$B$2)+coord!$C$2*($U61*1000-coord!$C$2)+coord!$D$2*($V61*1000-coord!$D$2))/(SQRT(coord!$B$2^2+coord!$C$2^2+coord!$D$2^2)*SQRT(($T61*1000-coord!$B$2)^2+($U61*1000-coord!$C$2)^2+($V61*1000-coord!$D$2)^2))))</f>
        <v>55.362363643287459</v>
      </c>
      <c r="F61">
        <f>(coord!$C$2*($V61*1000-coord!$D$2)-coord!$D$2*($U61*1000-coord!$C$2))/(SQRT(coord!$B$2^2+coord!$C$2^2+coord!$D$2^2)*SQRT(($T61*1000-coord!$B$2)^2+($U61*1000-coord!$C$2)^2+($V61*1000-coord!$D$2)^2))</f>
        <v>0.33990508283527537</v>
      </c>
      <c r="G61">
        <f>(-coord!$B$2*($V61*1000-coord!$D$2)+coord!$D$2*($T61*1000-coord!$B$2))/(SQRT(coord!$B$2^2+coord!$C$2^2+coord!$D$2^2)*SQRT(($T61*1000-coord!$B$2)^2+($U61*1000-coord!$C$2)^2+($V61*1000-coord!$D$2)^2))</f>
        <v>0.24954043594758885</v>
      </c>
      <c r="H61">
        <f>(coord!$B$2*($U61*1000-coord!$C$2)-coord!$C$2*($T61*1000-coord!$B$2))/(SQRT(coord!$B$2^2+coord!$C$2^2+coord!$D$2^2)*SQRT(($T61*1000-coord!$B$2)^2+($U61*1000-coord!$C$2)^2+($V61*1000-coord!$D$2)^2))</f>
        <v>-0.38112313505649487</v>
      </c>
      <c r="I61">
        <f t="shared" si="5"/>
        <v>-0.54105556980028957</v>
      </c>
      <c r="J61">
        <f t="shared" si="6"/>
        <v>0.17411577817322743</v>
      </c>
      <c r="K61">
        <f t="shared" si="7"/>
        <v>-1.8179011729893002E-3</v>
      </c>
      <c r="L61">
        <f t="shared" si="27"/>
        <v>252.16143166802615</v>
      </c>
      <c r="M61" s="5">
        <f>'sv04'!$AA$3+'sv04'!$Z$3*($B61)+'sv04'!$Y$3*($B61)^2+'sv04'!$X$3*($B61)^3+'sv04'!$W$3*($B61)^4+'sv04'!$V$3*($B61)^5+'sv04'!$U$3*($B61)^6+'sv04'!$T$3*($B61)^7+'sv04'!$S$3*($B61)^8</f>
        <v>21283.42427168199</v>
      </c>
      <c r="N61" s="5">
        <f>'sv04'!$AA$4+'sv04'!$Z$4*($B61)+'sv04'!$Y$4*($B61)^2+'sv04'!$X$4*($B61)^3+'sv04'!$W$4*($B61)^4+'sv04'!$V$4*($B61)^5+'sv04'!$U$4*($B61)^6+'sv04'!$T$4*($B61)^7+'sv04'!$S$4*($B61)^8</f>
        <v>-7199.3693503549284</v>
      </c>
      <c r="O61" s="5">
        <f>'sv04'!$AA$5+'sv04'!$Z$5*($B61)+'sv04'!$Y$5*($B61)^2+'sv04'!$X$5*($B61)^3+'sv04'!$W$5*($B61)^4+'sv04'!$V$5*($B61)^5+'sv04'!$U$5*($B61)^6+'sv04'!$T$5*($B61)^7+'sv04'!$S$5*($B61)^8</f>
        <v>14267.453498158</v>
      </c>
      <c r="P61" s="5">
        <f>'sv04'!$AA$6+'sv04'!$Z$6*$B61+'sv04'!$Y$6*$B61^2+'sv04'!$X$6*$B61^3+'sv04'!$W$6*$B61^4+'sv04'!$V$6*$B61^5+'sv04'!$U$6*$B61^6+'sv04'!$T$6*$B61^7+'sv04'!$S$6*$B61^8</f>
        <v>86.59832858264393</v>
      </c>
      <c r="R61">
        <f>SQRT(($M61*1000-coord!$B$2)^2+($N61*1000-coord!$C$2)^2+($O61*1000-coord!$D$2)^2)/coord!$B$6</f>
        <v>7.0479572075837632E-2</v>
      </c>
      <c r="T61" s="5">
        <f>'sv04'!$AA$3+'sv04'!$Z$3*($B61-$R61/3600)+'sv04'!$Y$3*($B61-$R61/3600)^2+'sv04'!$X$3*($B61-$R61/3600)^3+'sv04'!$W$3*($B61-$R61/3600)^4+'sv04'!$V$3*($B61-$R61/3600)^5+'sv04'!$U$3*($B61-$R61/3600)^6+'sv04'!$T$3*($B61-$R61/3600)^7+'sv04'!$S$3*($B61-$R61/3600)^8+N61*coord!$B$7*R61</f>
        <v>21283.262395355741</v>
      </c>
      <c r="U61" s="5">
        <f>'sv04'!$AA$4+'sv04'!$Z$4*($B61-$R61/3600)+'sv04'!$Y$4*($B61-$R61/3600)^2+'sv04'!$X$4*($B61-$R61/3600)^3+'sv04'!$W$4*($B61-$R61/3600)^4+'sv04'!$V$4*($B61-$R61/3600)^5+'sv04'!$U$4*($B61-$R61/3600)^6+'sv04'!$T$4*($B61-$R61/3600)^7+'sv04'!$S$4*($B61-$R61/3600)^8-M61*coord!$B$7*R61</f>
        <v>-7199.5157706173568</v>
      </c>
      <c r="V61" s="5">
        <f>'sv04'!$AA$5+'sv04'!$Z$5*($B61-$R61/3600)+'sv04'!$Y$5*($B61-$R61/3600)^2+'sv04'!$X$5*($B61-$R61/3600)^3+'sv04'!$W$5*($B61-$R61/3600)^4+'sv04'!$V$5*($B61-$R61/3600)^5+'sv04'!$U$5*($B61-$R61/3600)^6+'sv04'!$T$5*($B61-$R61/3600)^7+'sv04'!$S$5*($B61-$R61/3600)^8</f>
        <v>14267.616587171633</v>
      </c>
      <c r="W61">
        <f>coord!$B$6*P61/10^6</f>
        <v>25961.525784482477</v>
      </c>
      <c r="X61">
        <f>SQRT(($T61*1000+coord!$B$7*$R61*$U61*1000-coord!$B$2)^2+($U61*1000-coord!$B$7*$R61*$T61*1000-coord!$C$2)^2+($V61*1000-coord!$D$2)^2)</f>
        <v>21129258.729517229</v>
      </c>
      <c r="Y61" s="3">
        <f>$D61-(X61-$W61)-coord!$E$2</f>
        <v>-10.999623261392117</v>
      </c>
      <c r="Z61" s="3"/>
      <c r="AB61">
        <f>-(T61*1000-coord!$B$2)/$X61</f>
        <v>-0.7995729732323531</v>
      </c>
      <c r="AC61">
        <f>-(U61*1000-coord!$C$2)/$X61</f>
        <v>0.38449460474768771</v>
      </c>
      <c r="AD61">
        <f>-(V61*1000-coord!$D$2)/$X61</f>
        <v>-0.46135212018838112</v>
      </c>
      <c r="AE61">
        <v>1</v>
      </c>
      <c r="AG61">
        <v>1</v>
      </c>
      <c r="AH61">
        <v>1</v>
      </c>
      <c r="AI61">
        <v>1</v>
      </c>
      <c r="AJ61">
        <v>1</v>
      </c>
      <c r="AK61">
        <v>1</v>
      </c>
      <c r="AL61">
        <v>1</v>
      </c>
      <c r="AM61">
        <v>1</v>
      </c>
      <c r="AO61">
        <v>-3.1796788124971407</v>
      </c>
      <c r="AP61">
        <v>-1.0984127353966117E-2</v>
      </c>
      <c r="AQ61">
        <v>-3.4566081543987148</v>
      </c>
      <c r="AR61">
        <v>7</v>
      </c>
      <c r="AT61">
        <v>1.8526187528202551</v>
      </c>
      <c r="AU61">
        <v>0.11975465740669898</v>
      </c>
      <c r="AV61">
        <v>1.8332958702852344</v>
      </c>
      <c r="AW61">
        <v>1.8898619215770083</v>
      </c>
      <c r="AY61">
        <v>-23.549021847546101</v>
      </c>
      <c r="BA61">
        <v>4.842179648466896</v>
      </c>
      <c r="BD61">
        <f>SQRT(($T61*1000+coord!$B$7*$R61*$U61*1000-coord!$B$2-BA$58)^2+($U61*1000-coord!$B$7*$R61*$T61*1000-coord!$C$2-BA$59)^2+($V61*1000-coord!$D$2-BA$60)^2)</f>
        <v>21129240.1535208</v>
      </c>
      <c r="BE61" s="3">
        <f t="shared" si="28"/>
        <v>2.7341935188690911</v>
      </c>
      <c r="BG61" s="1"/>
      <c r="BH61" s="1"/>
      <c r="BI61" s="1"/>
      <c r="CA61">
        <v>0</v>
      </c>
      <c r="CB61">
        <v>0</v>
      </c>
      <c r="CC61">
        <v>0</v>
      </c>
      <c r="CD61">
        <v>1</v>
      </c>
      <c r="CG61" s="1"/>
      <c r="CH61" s="1"/>
      <c r="CI61" s="1"/>
      <c r="CK61">
        <v>1.8526187528202551</v>
      </c>
      <c r="CL61">
        <v>0.11975465740669898</v>
      </c>
      <c r="CM61">
        <v>1.8332958702852344</v>
      </c>
      <c r="CN61">
        <v>1.8898619215770083</v>
      </c>
      <c r="CP61">
        <v>0</v>
      </c>
      <c r="CQ61">
        <v>0</v>
      </c>
      <c r="CR61">
        <v>0</v>
      </c>
      <c r="CS61">
        <v>1</v>
      </c>
      <c r="CU61" s="5">
        <v>-2.1614329999556814E-2</v>
      </c>
      <c r="CV61" s="5">
        <v>-0.264702612142592</v>
      </c>
      <c r="CW61" s="5">
        <v>2.5955686307898556</v>
      </c>
      <c r="CX61" s="5">
        <v>1.8898619215770083</v>
      </c>
    </row>
    <row r="62" spans="1:111">
      <c r="A62">
        <v>14</v>
      </c>
      <c r="B62">
        <f t="shared" si="26"/>
        <v>0.3666666666666667</v>
      </c>
      <c r="C62">
        <v>20</v>
      </c>
      <c r="D62">
        <f>tetto!D62*coord!$B$13-tetto!G62*coord!$B$14</f>
        <v>22870164.192389436</v>
      </c>
      <c r="E62" s="5">
        <f>90-DEGREES(ACOS((coord!$B$2*($T62*1000-coord!$B$2)+coord!$C$2*($U62*1000-coord!$C$2)+coord!$D$2*($V62*1000-coord!$D$2))/(SQRT(coord!$B$2^2+coord!$C$2^2+coord!$D$2^2)*SQRT(($T62*1000-coord!$B$2)^2+($U62*1000-coord!$C$2)^2+($V62*1000-coord!$D$2)^2))))</f>
        <v>28.870119691903611</v>
      </c>
      <c r="F62">
        <f>(coord!$C$2*($V62*1000-coord!$D$2)-coord!$D$2*($U62*1000-coord!$C$2))/(SQRT(coord!$B$2^2+coord!$C$2^2+coord!$D$2^2)*SQRT(($T62*1000-coord!$B$2)^2+($U62*1000-coord!$C$2)^2+($V62*1000-coord!$D$2)^2))</f>
        <v>-0.6272800769111212</v>
      </c>
      <c r="G62">
        <f>(-coord!$B$2*($V62*1000-coord!$D$2)+coord!$D$2*($T62*1000-coord!$B$2))/(SQRT(coord!$B$2^2+coord!$C$2^2+coord!$D$2^2)*SQRT(($T62*1000-coord!$B$2)^2+($U62*1000-coord!$C$2)^2+($V62*1000-coord!$D$2)^2))</f>
        <v>0.24829280136154969</v>
      </c>
      <c r="H62">
        <f>(coord!$B$2*($U62*1000-coord!$C$2)-coord!$C$2*($T62*1000-coord!$B$2))/(SQRT(coord!$B$2^2+coord!$C$2^2+coord!$D$2^2)*SQRT(($T62*1000-coord!$B$2)^2+($U62*1000-coord!$C$2)^2+($V62*1000-coord!$D$2)^2))</f>
        <v>0.55834548527164984</v>
      </c>
      <c r="I62">
        <f t="shared" si="5"/>
        <v>0.79264883557735322</v>
      </c>
      <c r="J62">
        <f t="shared" si="6"/>
        <v>0.37226339297691835</v>
      </c>
      <c r="K62">
        <f t="shared" si="7"/>
        <v>2.6609637353879889E-3</v>
      </c>
      <c r="L62">
        <f t="shared" si="27"/>
        <v>115.15685237280645</v>
      </c>
      <c r="M62" s="5">
        <f>'sv20'!$AA$3+'sv20'!$Z$3*($B62)+'sv20'!$Y$3*($B62)^2+'sv20'!$X$3*($B62)^3+'sv20'!$W$3*($B62)^4+'sv20'!$V$3*($B62)^5+'sv20'!$U$3*($B62)^6+'sv20'!$T$3*($B62)^7+'sv20'!$S$3*($B62)^8</f>
        <v>14183.51842494357</v>
      </c>
      <c r="N62" s="5">
        <f>'sv20'!$AA$4+'sv20'!$Z$4*($B62)+'sv20'!$Y$4*($B62)^2+'sv20'!$X$4*($B62)^3+'sv20'!$W$4*($B62)^4+'sv20'!$V$4*($B62)^5+'sv20'!$U$4*($B62)^6+'sv20'!$T$4*($B62)^7+'sv20'!$S$4*($B62)^8</f>
        <v>21527.616543408443</v>
      </c>
      <c r="O62" s="5">
        <f>'sv20'!$AA$5+'sv20'!$Z$5*($B62)+'sv20'!$Y$5*($B62)^2+'sv20'!$X$5*($B62)^3+'sv20'!$W$5*($B62)^4+'sv20'!$V$5*($B62)^5+'sv20'!$U$5*($B62)^6+'sv20'!$T$5*($B62)^7+'sv20'!$S$5*($B62)^8</f>
        <v>6361.4206513480722</v>
      </c>
      <c r="P62" s="5">
        <f>'sv20'!$AA$6+'sv20'!$Z$6*$B62+'sv20'!$Y$6*$B62^2+'sv20'!$X$6*$B62^3+'sv20'!$W$6*$B62^4+'sv20'!$V$6*$B62^5+'sv20'!$U$6*$B62^6+'sv20'!$T$6*$B62^7+'sv20'!$S$6*$B62^8</f>
        <v>55.817948760702677</v>
      </c>
      <c r="R62">
        <f>SQRT(($M62*1000-coord!$B$2)^2+($N62*1000-coord!$C$2)^2+($O62*1000-coord!$D$2)^2)/coord!$B$6</f>
        <v>7.6342674065323177E-2</v>
      </c>
      <c r="T62" s="5">
        <f>'sv20'!$AA$3+'sv20'!$Z$3*($B62-$R62/3600)+'sv20'!$Y$3*($B62-$R62/3600)^2+'sv20'!$X$3*($B62-$R62/3600)^3+'sv20'!$W$3*($B62-$R62/3600)^4+'sv20'!$V$3*($B62-$R62/3600)^5+'sv20'!$U$3*($B62-$R62/3600)^6+'sv20'!$T$3*($B62-$R62/3600)^7+'sv20'!$S$3*($B62-$R62/3600)^8+N62*coord!$B$7*R62</f>
        <v>14183.637393488832</v>
      </c>
      <c r="U62" s="5">
        <f>'sv20'!$AA$4+'sv20'!$Z$4*($B62-$R62/3600)+'sv20'!$Y$4*($B62-$R62/3600)^2+'sv20'!$X$4*($B62-$R62/3600)^3+'sv20'!$W$4*($B62-$R62/3600)^4+'sv20'!$V$4*($B62-$R62/3600)^5+'sv20'!$U$4*($B62-$R62/3600)^6+'sv20'!$T$4*($B62-$R62/3600)^7+'sv20'!$S$4*($B62-$R62/3600)^8-M62*coord!$B$7*R62</f>
        <v>21527.469406670352</v>
      </c>
      <c r="V62" s="5">
        <f>'sv20'!$AA$5+'sv20'!$Z$5*($B62-$R62/3600)+'sv20'!$Y$5*($B62-$R62/3600)^2+'sv20'!$X$5*($B62-$R62/3600)^3+'sv20'!$W$5*($B62-$R62/3600)^4+'sv20'!$V$5*($B62-$R62/3600)^5+'sv20'!$U$5*($B62-$R62/3600)^6+'sv20'!$T$5*($B62-$R62/3600)^7+'sv20'!$S$5*($B62-$R62/3600)^8</f>
        <v>6361.6480540390658</v>
      </c>
      <c r="W62">
        <f>coord!$B$6*P62/10^6</f>
        <v>16733.800059489109</v>
      </c>
      <c r="X62">
        <f>SQRT(($T62*1000+coord!$B$7*$R62*$U62*1000-coord!$B$2)^2+($U62*1000-coord!$B$7*$R62*$T62*1000-coord!$C$2)^2+($V62*1000-coord!$D$2)^2)</f>
        <v>22886874.878683623</v>
      </c>
      <c r="Y62" s="3">
        <f>$D62-(X62-$W62)-coord!$E$2</f>
        <v>23.113765303045511</v>
      </c>
      <c r="Z62" s="3"/>
      <c r="AB62">
        <f>-(T62*1000-coord!$B$2)/$X62</f>
        <v>-0.42796403067731514</v>
      </c>
      <c r="AC62">
        <f>-(U62*1000-coord!$C$2)/$X62</f>
        <v>-0.9002058735707722</v>
      </c>
      <c r="AD62">
        <f>-(V62*1000-coord!$D$2)/$X62</f>
        <v>-8.0485421863110002E-2</v>
      </c>
      <c r="AE62">
        <v>1</v>
      </c>
      <c r="BD62">
        <f>SQRT(($T62*1000+coord!$B$7*$R62*$U62*1000-coord!$B$2-BA$58)^2+($U62*1000-coord!$B$7*$R62*$T62*1000-coord!$C$2-BA$59)^2+($V62*1000-coord!$D$2-BA$60)^2)</f>
        <v>22886890.620484266</v>
      </c>
      <c r="BE62" s="3">
        <f t="shared" si="28"/>
        <v>2.5297850110749494</v>
      </c>
      <c r="BG62" s="1"/>
      <c r="BH62" s="1"/>
      <c r="BI62" s="1"/>
      <c r="CG62" s="1"/>
      <c r="CH62" s="1"/>
      <c r="CI62" s="1"/>
    </row>
    <row r="63" spans="1:111">
      <c r="A63">
        <v>14</v>
      </c>
      <c r="B63">
        <f t="shared" si="26"/>
        <v>0.3666666666666667</v>
      </c>
      <c r="C63">
        <v>13</v>
      </c>
      <c r="D63">
        <f>tetto!D63*coord!$B$13-tetto!G63*coord!$B$14</f>
        <v>20100485.859528977</v>
      </c>
      <c r="E63" s="5">
        <f>90-DEGREES(ACOS((coord!$B$2*($T63*1000-coord!$B$2)+coord!$C$2*($U63*1000-coord!$C$2)+coord!$D$2*($V63*1000-coord!$D$2))/(SQRT(coord!$B$2^2+coord!$C$2^2+coord!$D$2^2)*SQRT(($T63*1000-coord!$B$2)^2+($U63*1000-coord!$C$2)^2+($V63*1000-coord!$D$2)^2))))</f>
        <v>77.90477094018172</v>
      </c>
      <c r="F63">
        <f>(coord!$C$2*($V63*1000-coord!$D$2)-coord!$D$2*($U63*1000-coord!$C$2))/(SQRT(coord!$B$2^2+coord!$C$2^2+coord!$D$2^2)*SQRT(($T63*1000-coord!$B$2)^2+($U63*1000-coord!$C$2)^2+($V63*1000-coord!$D$2)^2))</f>
        <v>-1.2602851449689692E-3</v>
      </c>
      <c r="G63">
        <f>(-coord!$B$2*($V63*1000-coord!$D$2)+coord!$D$2*($T63*1000-coord!$B$2))/(SQRT(coord!$B$2^2+coord!$C$2^2+coord!$D$2^2)*SQRT(($T63*1000-coord!$B$2)^2+($U63*1000-coord!$C$2)^2+($V63*1000-coord!$D$2)^2))</f>
        <v>-0.20503831902848352</v>
      </c>
      <c r="H63">
        <f>(coord!$B$2*($U63*1000-coord!$C$2)-coord!$C$2*($T63*1000-coord!$B$2))/(SQRT(coord!$B$2^2+coord!$C$2^2+coord!$D$2^2)*SQRT(($T63*1000-coord!$B$2)^2+($U63*1000-coord!$C$2)^2+($V63*1000-coord!$D$2)^2))</f>
        <v>4.3168436693559305E-2</v>
      </c>
      <c r="I63">
        <f t="shared" si="5"/>
        <v>6.1282743364576675E-2</v>
      </c>
      <c r="J63">
        <f t="shared" si="6"/>
        <v>-0.20037514120908806</v>
      </c>
      <c r="K63">
        <f t="shared" si="7"/>
        <v>2.06558437498644E-4</v>
      </c>
      <c r="L63">
        <f t="shared" si="27"/>
        <v>17.00573056630256</v>
      </c>
      <c r="M63" s="5">
        <f>'sv13'!$AA$3+'sv13'!$Z$3*($B63)+'sv13'!$Y$3*($B63)^2+'sv13'!$X$3*($B63)^3+'sv13'!$W$3*($B63)^4+'sv13'!$V$3*($B63)^5+'sv13'!$U$3*($B63)^6+'sv13'!$T$3*($B63)^7+'sv13'!$S$3*($B63)^8</f>
        <v>14932.174913718172</v>
      </c>
      <c r="N63" s="5">
        <f>'sv13'!$AA$4+'sv13'!$Z$4*($B63)+'sv13'!$Y$4*($B63)^2+'sv13'!$X$4*($B63)^3+'sv13'!$W$4*($B63)^4+'sv13'!$V$4*($B63)^5+'sv13'!$U$4*($B63)^6+'sv13'!$T$4*($B63)^7+'sv13'!$S$4*($B63)^8</f>
        <v>4410.4679525492638</v>
      </c>
      <c r="O63" s="5">
        <f>'sv13'!$AA$5+'sv13'!$Z$5*($B63)+'sv13'!$Y$5*($B63)^2+'sv13'!$X$5*($B63)^3+'sv13'!$W$5*($B63)^4+'sv13'!$V$5*($B63)^5+'sv13'!$U$5*($B63)^6+'sv13'!$T$5*($B63)^7+'sv13'!$S$5*($B63)^8</f>
        <v>21383.52028419526</v>
      </c>
      <c r="P63" s="5">
        <f>'sv13'!$AA$6+'sv13'!$Z$6*$B63+'sv13'!$Y$6*$B63^2+'sv13'!$X$6*$B63^3+'sv13'!$W$6*$B63^4+'sv13'!$V$6*$B63^5+'sv13'!$U$6*$B63^6+'sv13'!$T$6*$B63^7+'sv13'!$S$6*$B63^8</f>
        <v>304.21956895852674</v>
      </c>
      <c r="R63">
        <f>SQRT(($M63*1000-coord!$B$2)^2+($N63*1000-coord!$C$2)^2+($O63*1000-coord!$D$2)^2)/coord!$B$6</f>
        <v>6.7352264978646548E-2</v>
      </c>
      <c r="T63" s="5">
        <f>'sv13'!$AA$3+'sv13'!$Z$3*($B63-$R63/3600)+'sv13'!$Y$3*($B63-$R63/3600)^2+'sv13'!$X$3*($B63-$R63/3600)^3+'sv13'!$W$3*($B63-$R63/3600)^4+'sv13'!$V$3*($B63-$R63/3600)^5+'sv13'!$U$3*($B63-$R63/3600)^6+'sv13'!$T$3*($B63-$R63/3600)^7+'sv13'!$S$3*($B63-$R63/3600)^8+N63*coord!$B$7*R63</f>
        <v>14932.319594008761</v>
      </c>
      <c r="U63" s="5">
        <f>'sv13'!$AA$4+'sv13'!$Z$4*($B63-$R63/3600)+'sv13'!$Y$4*($B63-$R63/3600)^2+'sv13'!$X$4*($B63-$R63/3600)^3+'sv13'!$W$4*($B63-$R63/3600)^4+'sv13'!$V$4*($B63-$R63/3600)^5+'sv13'!$U$4*($B63-$R63/3600)^6+'sv13'!$T$4*($B63-$R63/3600)^7+'sv13'!$S$4*($B63-$R63/3600)^8-M63*coord!$B$7*R63</f>
        <v>4410.2570989414999</v>
      </c>
      <c r="V63" s="5">
        <f>'sv13'!$AA$5+'sv13'!$Z$5*($B63-$R63/3600)+'sv13'!$Y$5*($B63-$R63/3600)^2+'sv13'!$X$5*($B63-$R63/3600)^3+'sv13'!$W$5*($B63-$R63/3600)^4+'sv13'!$V$5*($B63-$R63/3600)^5+'sv13'!$U$5*($B63-$R63/3600)^6+'sv13'!$T$5*($B63-$R63/3600)^7+'sv13'!$S$5*($B63-$R63/3600)^8</f>
        <v>21383.4633199118</v>
      </c>
      <c r="W63">
        <f>coord!$B$6*P63/10^6</f>
        <v>91202.73234977723</v>
      </c>
      <c r="X63">
        <f>SQRT(($T63*1000+coord!$B$7*$R63*$U63*1000-coord!$B$2)^2+($U63*1000-coord!$B$7*$R63*$T63*1000-coord!$C$2)^2+($V63*1000-coord!$D$2)^2)</f>
        <v>20191691.290040929</v>
      </c>
      <c r="Y63" s="3">
        <f>$D63-(X63-$W63)-coord!$E$2</f>
        <v>-2.6981621757149696</v>
      </c>
      <c r="Z63" s="3"/>
      <c r="AB63">
        <f>-(T63*1000-coord!$B$2)/$X63</f>
        <v>-0.52216732475545824</v>
      </c>
      <c r="AC63">
        <f>-(U63*1000-coord!$C$2)/$X63</f>
        <v>-0.17262976318683776</v>
      </c>
      <c r="AD63">
        <f>-(V63*1000-coord!$D$2)/$X63</f>
        <v>-0.83518883105792652</v>
      </c>
      <c r="AE63">
        <v>1</v>
      </c>
      <c r="BD63">
        <f>SQRT(($T63*1000+coord!$B$7*$R63*$U63*1000-coord!$B$2-BA$58)^2+($U63*1000-coord!$B$7*$R63*$T63*1000-coord!$C$2-BA$59)^2+($V63*1000-coord!$D$2-BA$60)^2)</f>
        <v>20191682.764521495</v>
      </c>
      <c r="BE63" s="3">
        <f t="shared" si="28"/>
        <v>0.98517761018078431</v>
      </c>
      <c r="BG63" s="1"/>
      <c r="BH63" s="1"/>
      <c r="BI63" s="1"/>
      <c r="CG63" s="1"/>
      <c r="CH63" s="1"/>
      <c r="CI63" s="1"/>
    </row>
    <row r="64" spans="1:111">
      <c r="A64">
        <v>14</v>
      </c>
      <c r="B64">
        <f t="shared" si="26"/>
        <v>0.3666666666666667</v>
      </c>
      <c r="C64">
        <v>7</v>
      </c>
      <c r="D64">
        <f>tetto!D64*coord!$B$13-tetto!G64*coord!$B$14</f>
        <v>21996158.438230149</v>
      </c>
      <c r="E64" s="5">
        <f>90-DEGREES(ACOS((coord!$B$2*($T64*1000-coord!$B$2)+coord!$C$2*($U64*1000-coord!$C$2)+coord!$D$2*($V64*1000-coord!$D$2))/(SQRT(coord!$B$2^2+coord!$C$2^2+coord!$D$2^2)*SQRT(($T64*1000-coord!$B$2)^2+($U64*1000-coord!$C$2)^2+($V64*1000-coord!$D$2)^2))))</f>
        <v>41.579188220055293</v>
      </c>
      <c r="F64">
        <f>(coord!$C$2*($V64*1000-coord!$D$2)-coord!$D$2*($U64*1000-coord!$C$2))/(SQRT(coord!$B$2^2+coord!$C$2^2+coord!$D$2^2)*SQRT(($T64*1000-coord!$B$2)^2+($U64*1000-coord!$C$2)^2+($V64*1000-coord!$D$2)^2))</f>
        <v>-0.18405442022564233</v>
      </c>
      <c r="G64">
        <f>(-coord!$B$2*($V64*1000-coord!$D$2)+coord!$D$2*($T64*1000-coord!$B$2))/(SQRT(coord!$B$2^2+coord!$C$2^2+coord!$D$2^2)*SQRT(($T64*1000-coord!$B$2)^2+($U64*1000-coord!$C$2)^2+($V64*1000-coord!$D$2)^2))</f>
        <v>0.724398949633282</v>
      </c>
      <c r="H64">
        <f>(coord!$B$2*($U64*1000-coord!$C$2)-coord!$C$2*($T64*1000-coord!$B$2))/(SQRT(coord!$B$2^2+coord!$C$2^2+coord!$D$2^2)*SQRT(($T64*1000-coord!$B$2)^2+($U64*1000-coord!$C$2)^2+($V64*1000-coord!$D$2)^2))</f>
        <v>3.0541440389202507E-2</v>
      </c>
      <c r="I64">
        <f t="shared" si="5"/>
        <v>4.3360466470363616E-2</v>
      </c>
      <c r="J64">
        <f t="shared" si="6"/>
        <v>0.74678142513885604</v>
      </c>
      <c r="K64">
        <f t="shared" si="7"/>
        <v>1.4293529453799844E-4</v>
      </c>
      <c r="L64">
        <f t="shared" si="27"/>
        <v>176.67695874551364</v>
      </c>
      <c r="M64" s="5">
        <f>'sv07'!$AA$3+'sv07'!$Z$3*($B64)+'sv07'!$Y$3*($B64)^2+'sv07'!$X$3*($B64)^3+'sv07'!$W$3*($B64)^4+'sv07'!$V$3*($B64)^5+'sv07'!$U$3*($B64)^6+'sv07'!$T$3*($B64)^7+'sv07'!$S$3*($B64)^8</f>
        <v>25662.960908178258</v>
      </c>
      <c r="N64" s="5">
        <f>'sv07'!$AA$4+'sv07'!$Z$4*($B64)+'sv07'!$Y$4*($B64)^2+'sv07'!$X$4*($B64)^3+'sv07'!$W$4*($B64)^4+'sv07'!$V$4*($B64)^5+'sv07'!$U$4*($B64)^6+'sv07'!$T$4*($B64)^7+'sv07'!$S$4*($B64)^8</f>
        <v>6381.0090113527431</v>
      </c>
      <c r="O64" s="5">
        <f>'sv07'!$AA$5+'sv07'!$Z$5*($B64)+'sv07'!$Y$5*($B64)^2+'sv07'!$X$5*($B64)^3+'sv07'!$W$5*($B64)^4+'sv07'!$V$5*($B64)^5+'sv07'!$U$5*($B64)^6+'sv07'!$T$5*($B64)^7+'sv07'!$S$5*($B64)^8</f>
        <v>3310.670785939928</v>
      </c>
      <c r="P64" s="5">
        <f>'sv07'!$AA$6+'sv07'!$Z$6*$B64+'sv07'!$Y$6*$B64^2+'sv07'!$X$6*$B64^3+'sv07'!$W$6*$B64^4+'sv07'!$V$6*$B64^5+'sv07'!$U$6*$B64^6+'sv07'!$T$6*$B64^7+'sv07'!$S$6*$B64^8</f>
        <v>-0.63768351784929633</v>
      </c>
      <c r="R64">
        <f>SQRT(($M64*1000-coord!$B$2)^2+($N64*1000-coord!$C$2)^2+($O64*1000-coord!$D$2)^2)/coord!$B$6</f>
        <v>7.3370514694436298E-2</v>
      </c>
      <c r="T64" s="5">
        <f>'sv07'!$AA$3+'sv07'!$Z$3*($B64-$R64/3600)+'sv07'!$Y$3*($B64-$R64/3600)^2+'sv07'!$X$3*($B64-$R64/3600)^3+'sv07'!$W$3*($B64-$R64/3600)^4+'sv07'!$V$3*($B64-$R64/3600)^5+'sv07'!$U$3*($B64-$R64/3600)^6+'sv07'!$T$3*($B64-$R64/3600)^7+'sv07'!$S$3*($B64-$R64/3600)^8+N64*coord!$B$7*R64</f>
        <v>25663.028094233912</v>
      </c>
      <c r="U64" s="5">
        <f>'sv07'!$AA$4+'sv07'!$Z$4*($B64-$R64/3600)+'sv07'!$Y$4*($B64-$R64/3600)^2+'sv07'!$X$4*($B64-$R64/3600)^3+'sv07'!$W$4*($B64-$R64/3600)^4+'sv07'!$V$4*($B64-$R64/3600)^5+'sv07'!$U$4*($B64-$R64/3600)^6+'sv07'!$T$4*($B64-$R64/3600)^7+'sv07'!$S$4*($B64-$R64/3600)^8-M64*coord!$B$7*R64</f>
        <v>6380.8598395884601</v>
      </c>
      <c r="V64" s="5">
        <f>'sv07'!$AA$5+'sv07'!$Z$5*($B64-$R64/3600)+'sv07'!$Y$5*($B64-$R64/3600)^2+'sv07'!$X$5*($B64-$R64/3600)^3+'sv07'!$W$5*($B64-$R64/3600)^4+'sv07'!$V$5*($B64-$R64/3600)^5+'sv07'!$U$5*($B64-$R64/3600)^6+'sv07'!$T$5*($B64-$R64/3600)^7+'sv07'!$S$5*($B64-$R64/3600)^8</f>
        <v>3310.4395298678974</v>
      </c>
      <c r="W64">
        <f>coord!$B$6*P64/10^6</f>
        <v>-191.17270924212741</v>
      </c>
      <c r="X64">
        <f>SQRT(($T64*1000+coord!$B$7*$R64*$U64*1000-coord!$B$2)^2+($U64*1000-coord!$B$7*$R64*$T64*1000-coord!$C$2)^2+($V64*1000-coord!$D$2)^2)</f>
        <v>21995966.593582094</v>
      </c>
      <c r="Y64" s="3">
        <f>$D64-(X64-$W64)-coord!$E$2</f>
        <v>0.67193881422281265</v>
      </c>
      <c r="Z64" s="3" t="s">
        <v>127</v>
      </c>
      <c r="AA64" s="1" t="s">
        <v>128</v>
      </c>
      <c r="AB64">
        <f>-(T64*1000-coord!$B$2)/$X64</f>
        <v>-0.96718413500597</v>
      </c>
      <c r="AC64">
        <f>-(U64*1000-coord!$C$2)/$X64</f>
        <v>-0.24805864307779399</v>
      </c>
      <c r="AD64">
        <f>-(V64*1000-coord!$D$2)/$X64</f>
        <v>5.4971384834931677E-2</v>
      </c>
      <c r="AE64">
        <v>1</v>
      </c>
      <c r="BD64">
        <f>SQRT(($T64*1000+coord!$B$7*$R64*$U64*1000-coord!$B$2-BA$58)^2+($U64*1000-coord!$B$7*$R64*$T64*1000-coord!$C$2-BA$59)^2+($V64*1000-coord!$D$2-BA$60)^2)</f>
        <v>21995965.960142639</v>
      </c>
      <c r="BE64" s="3">
        <f t="shared" si="28"/>
        <v>-3.5368013790627231</v>
      </c>
      <c r="BF64" s="3" t="s">
        <v>127</v>
      </c>
      <c r="BG64" s="1" t="s">
        <v>128</v>
      </c>
      <c r="BH64" s="1"/>
      <c r="BI64" s="1"/>
      <c r="CG64" s="1"/>
      <c r="CH64" s="1"/>
      <c r="CI64" s="1"/>
    </row>
    <row r="65" spans="1:111">
      <c r="Y65" s="3"/>
      <c r="Z65" s="3">
        <f>AVERAGE($Y58:$Y64)</f>
        <v>-3.3641459782208716</v>
      </c>
      <c r="AA65" s="1">
        <f>SQRT(DEVSQ($Y58:$Y64)/6)</f>
        <v>15.113487970076294</v>
      </c>
      <c r="BE65" s="3"/>
      <c r="BF65" s="3">
        <f>AVERAGE($BE58:$BE64)</f>
        <v>6.7558250833599232E-5</v>
      </c>
      <c r="BG65" s="1">
        <f>SQRT(DEVSQ($BE58:$BE64)/6)</f>
        <v>3.0268729284202776</v>
      </c>
      <c r="BH65" s="1"/>
      <c r="BI65" s="1"/>
      <c r="CG65" s="1"/>
      <c r="CH65" s="1"/>
      <c r="CI65" s="1"/>
    </row>
    <row r="66" spans="1:111">
      <c r="A66">
        <v>16</v>
      </c>
      <c r="B66">
        <f t="shared" ref="B66:B72" si="29">(60-45)/60+30*A66/3600</f>
        <v>0.3833333333333333</v>
      </c>
      <c r="C66">
        <v>2</v>
      </c>
      <c r="D66">
        <f>tetto!D66*coord!$B$13-tetto!G66*coord!$B$14</f>
        <v>22704797.911939025</v>
      </c>
      <c r="E66" s="5">
        <f>90-DEGREES(ACOS((coord!$B$2*($T66*1000-coord!$B$2)+coord!$C$2*($U66*1000-coord!$C$2)+coord!$D$2*($V66*1000-coord!$D$2))/(SQRT(coord!$B$2^2+coord!$C$2^2+coord!$D$2^2)*SQRT(($T66*1000-coord!$B$2)^2+($U66*1000-coord!$C$2)^2+($V66*1000-coord!$D$2)^2))))</f>
        <v>29.364233075868981</v>
      </c>
      <c r="F66">
        <f>(coord!$C$2*($V66*1000-coord!$D$2)-coord!$D$2*($U66*1000-coord!$C$2))/(SQRT(coord!$B$2^2+coord!$C$2^2+coord!$D$2^2)*SQRT(($T66*1000-coord!$B$2)^2+($U66*1000-coord!$C$2)^2+($V66*1000-coord!$D$2)^2))</f>
        <v>0.58812379171968232</v>
      </c>
      <c r="G66">
        <f>(-coord!$B$2*($V66*1000-coord!$D$2)+coord!$D$2*($T66*1000-coord!$B$2))/(SQRT(coord!$B$2^2+coord!$C$2^2+coord!$D$2^2)*SQRT(($T66*1000-coord!$B$2)^2+($U66*1000-coord!$C$2)^2+($V66*1000-coord!$D$2)^2))</f>
        <v>-0.42285962693580192</v>
      </c>
      <c r="H66">
        <f>(coord!$B$2*($U66*1000-coord!$C$2)-coord!$C$2*($T66*1000-coord!$B$2))/(SQRT(coord!$B$2^2+coord!$C$2^2+coord!$D$2^2)*SQRT(($T66*1000-coord!$B$2)^2+($U66*1000-coord!$C$2)^2+($V66*1000-coord!$D$2)^2))</f>
        <v>-0.48461057132823909</v>
      </c>
      <c r="I66">
        <f t="shared" si="5"/>
        <v>-0.68797267636859694</v>
      </c>
      <c r="J66">
        <f t="shared" si="6"/>
        <v>-0.53500984137102758</v>
      </c>
      <c r="K66">
        <f t="shared" si="7"/>
        <v>-2.3087937287893379E-3</v>
      </c>
      <c r="L66">
        <f t="shared" ref="L66:L72" si="30">90+DEGREES(ATAN2(I66,J66))</f>
        <v>-52.12916880859575</v>
      </c>
      <c r="M66" s="5">
        <f>'sv02'!$AA$3+'sv02'!$Z$3*($B66)+'sv02'!$Y$3*($B66)^2+'sv02'!$X$3*($B66)^3+'sv02'!$W$3*($B66)^4+'sv02'!$V$3*($B66)^5+'sv02'!$U$3*($B66)^6+'sv02'!$T$3*($B66)^7+'sv02'!$S$3*($B66)^8</f>
        <v>6854.4694274989224</v>
      </c>
      <c r="N66" s="5">
        <f>'sv02'!$AA$4+'sv02'!$Z$4*($B66)+'sv02'!$Y$4*($B66)^2+'sv02'!$X$4*($B66)^3+'sv02'!$W$4*($B66)^4+'sv02'!$V$4*($B66)^5+'sv02'!$U$4*($B66)^6+'sv02'!$T$4*($B66)^7+'sv02'!$S$4*($B66)^8</f>
        <v>-14573.472889712839</v>
      </c>
      <c r="O66" s="5">
        <f>'sv02'!$AA$5+'sv02'!$Z$5*($B66)+'sv02'!$Y$5*($B66)^2+'sv02'!$X$5*($B66)^3+'sv02'!$W$5*($B66)^4+'sv02'!$V$5*($B66)^5+'sv02'!$U$5*($B66)^6+'sv02'!$T$5*($B66)^7+'sv02'!$S$5*($B66)^8</f>
        <v>21034.728877625454</v>
      </c>
      <c r="P66" s="5">
        <f>'sv02'!$AA$6+'sv02'!$Z$6*$B66+'sv02'!$Y$6*$B66^2+'sv02'!$X$6*$B66^3+'sv02'!$W$6*$B66^4+'sv02'!$V$6*$B66^5+'sv02'!$U$6*$B66^6+'sv02'!$T$6*$B66^7+'sv02'!$S$6*$B66^8</f>
        <v>257.59134778746193</v>
      </c>
      <c r="R66">
        <f>SQRT(($M66*1000-coord!$B$2)^2+($N66*1000-coord!$C$2)^2+($O66*1000-coord!$D$2)^2)/coord!$B$6</f>
        <v>7.5992486179005475E-2</v>
      </c>
      <c r="T66" s="5">
        <f>'sv02'!$AA$3+'sv02'!$Z$3*($B66-$R66/3600)+'sv02'!$Y$3*($B66-$R66/3600)^2+'sv02'!$X$3*($B66-$R66/3600)^3+'sv02'!$W$3*($B66-$R66/3600)^4+'sv02'!$V$3*($B66-$R66/3600)^5+'sv02'!$U$3*($B66-$R66/3600)^6+'sv02'!$T$3*($B66-$R66/3600)^7+'sv02'!$S$3*($B66-$R66/3600)^8+N66*coord!$B$7*R66</f>
        <v>6854.1868615953081</v>
      </c>
      <c r="U66" s="5">
        <f>'sv02'!$AA$4+'sv02'!$Z$4*($B66-$R66/3600)+'sv02'!$Y$4*($B66-$R66/3600)^2+'sv02'!$X$4*($B66-$R66/3600)^3+'sv02'!$W$4*($B66-$R66/3600)^4+'sv02'!$V$4*($B66-$R66/3600)^5+'sv02'!$U$4*($B66-$R66/3600)^6+'sv02'!$T$4*($B66-$R66/3600)^7+'sv02'!$S$4*($B66-$R66/3600)^8-M66*coord!$B$7*R66</f>
        <v>-14573.544840972443</v>
      </c>
      <c r="V66" s="5">
        <f>'sv02'!$AA$5+'sv02'!$Z$5*($B66-$R66/3600)+'sv02'!$Y$5*($B66-$R66/3600)^2+'sv02'!$X$5*($B66-$R66/3600)^3+'sv02'!$W$5*($B66-$R66/3600)^4+'sv02'!$V$5*($B66-$R66/3600)^5+'sv02'!$U$5*($B66-$R66/3600)^6+'sv02'!$T$5*($B66-$R66/3600)^7+'sv02'!$S$5*($B66-$R66/3600)^8</f>
        <v>21034.774525952336</v>
      </c>
      <c r="W66">
        <f>coord!$B$6*P66/10^6</f>
        <v>77223.943312736068</v>
      </c>
      <c r="X66">
        <f>SQRT(($T66*1000+coord!$B$7*$R66*$U66*1000-coord!$B$2)^2+($U66*1000-coord!$B$7*$R66*$T66*1000-coord!$C$2)^2+($V66*1000-coord!$D$2)^2)</f>
        <v>22782042.77984542</v>
      </c>
      <c r="Y66" s="3">
        <f>$D66-(X66-$W66)-coord!$E$2</f>
        <v>-20.924593660980463</v>
      </c>
      <c r="Z66" s="3"/>
      <c r="AB66">
        <f>-(T66*1000-coord!$B$2)/$X66</f>
        <v>-0.10821280227672522</v>
      </c>
      <c r="AC66">
        <f>-(U66*1000-coord!$C$2)/$X66</f>
        <v>0.68027767325075672</v>
      </c>
      <c r="AD66">
        <f>-(V66*1000-coord!$D$2)/$X66</f>
        <v>-0.72492122024557071</v>
      </c>
      <c r="AE66">
        <v>1</v>
      </c>
      <c r="AG66">
        <f t="array" ref="AG66:AM69">TRANSPOSE(AB66:AE72)</f>
        <v>-0.10821280227672522</v>
      </c>
      <c r="AH66">
        <v>-0.21681450570851102</v>
      </c>
      <c r="AI66">
        <v>-0.14238646239880848</v>
      </c>
      <c r="AJ66">
        <v>-0.80423777078665937</v>
      </c>
      <c r="AK66">
        <v>-0.42734738167308339</v>
      </c>
      <c r="AL66">
        <v>-0.51657969629144251</v>
      </c>
      <c r="AM66">
        <v>-0.9674193800788079</v>
      </c>
      <c r="AO66">
        <f t="array" ref="AO66:AR69">MMULT(AG66:AM69,AB66:AE72)</f>
        <v>2.1111714612920145</v>
      </c>
      <c r="AP66">
        <v>0.34406514496983248</v>
      </c>
      <c r="AQ66">
        <v>1.1237997994376152</v>
      </c>
      <c r="AR66">
        <v>-3.182997999214038</v>
      </c>
      <c r="AT66">
        <f t="array" ref="AT66:AW69">MINVERSE(AO66:AR69)</f>
        <v>2.5135949925051375</v>
      </c>
      <c r="AU66">
        <v>-3.3006985860135445E-2</v>
      </c>
      <c r="AV66">
        <v>1.470642186594231</v>
      </c>
      <c r="AW66">
        <v>1.8686725080745183</v>
      </c>
      <c r="AY66">
        <f t="array" ref="AY66:AY69">MMULT(AG66:AM69,Y66:Y72)</f>
        <v>5.0449785866403882</v>
      </c>
      <c r="BA66">
        <f t="array" ref="BA66:BA69">MMULT(AT66:AW69,AY66:AY69)</f>
        <v>7.6929013806885038</v>
      </c>
      <c r="BD66">
        <f>SQRT(($T66*1000+coord!$B$7*$R66*$U66*1000-coord!$B$2-BA$66)^2+($U66*1000-coord!$B$7*$R66*$T66*1000-coord!$C$2-BA$67)^2+($V66*1000-coord!$D$2-BA$68)^2)</f>
        <v>22782020.486654848</v>
      </c>
      <c r="BE66" s="3">
        <f>$D66-(BD66-$W66)-BA$69</f>
        <v>-3.0869844058283036</v>
      </c>
      <c r="BG66" s="1">
        <f>coord!$B$2+$BA66</f>
        <v>4388885.8637013808</v>
      </c>
      <c r="BH66" s="1">
        <f>coord!$C$2+$BA67</f>
        <v>924548.561610203</v>
      </c>
      <c r="BI66" s="1">
        <f>coord!$D$2+$BA68</f>
        <v>4519597.5603032028</v>
      </c>
      <c r="BJ66" s="1">
        <f>coord!$E$2+$BA69</f>
        <v>4.4555813172586625</v>
      </c>
      <c r="BK66" s="8">
        <f>lat($BG66,$BH66,$BI66)</f>
        <v>45.411210293012466</v>
      </c>
      <c r="BL66" s="8">
        <f>lon($BG66,$BH66,$BI66)</f>
        <v>11.895815628730048</v>
      </c>
      <c r="BM66" s="6">
        <f>h($BG66,$BH66,$BI66)</f>
        <v>70.885674755088985</v>
      </c>
      <c r="BO66">
        <f>grado($BK66)</f>
        <v>45</v>
      </c>
      <c r="BP66">
        <f>MINUTOprimo($BK66)</f>
        <v>24</v>
      </c>
      <c r="BQ66">
        <f>MINUTOsecondo($BK66)</f>
        <v>40.357054844878917</v>
      </c>
      <c r="BR66">
        <f>grado($BL66)</f>
        <v>11</v>
      </c>
      <c r="BS66">
        <f>MINUTOprimo($BL66)</f>
        <v>53</v>
      </c>
      <c r="BT66">
        <f>MINUTOsecondo($BL66)</f>
        <v>44.936263428173788</v>
      </c>
      <c r="BV66">
        <f>-SIN(RADIANS(BK66))*COS(RADIANS(BL66))</f>
        <v>-0.69686902149453711</v>
      </c>
      <c r="BW66">
        <f>-SIN(RADIANS(BL66))</f>
        <v>-0.20613272330251597</v>
      </c>
      <c r="BX66">
        <f>COS(RADIANS(BK66))*COS(RADIANS(BL66))</f>
        <v>0.68693730955971133</v>
      </c>
      <c r="BZ66" t="s">
        <v>93</v>
      </c>
      <c r="CA66">
        <f t="array" ref="CA66:CC68">MINVERSE(BV66:BX68)</f>
        <v>-0.69686902149453722</v>
      </c>
      <c r="CB66">
        <v>-0.14680018379654947</v>
      </c>
      <c r="CC66">
        <v>0.70201372701575127</v>
      </c>
      <c r="CD66">
        <v>0</v>
      </c>
      <c r="CE66" s="1">
        <f t="array" ref="CE66:CE68">MMULT(CA66:CC68,BA66:BA68)</f>
        <v>4.3364144220498009</v>
      </c>
      <c r="CG66" s="1">
        <f t="array" ref="CG66:CI66">TRANSPOSE(CE66:CE68)</f>
        <v>4.3364144220498009</v>
      </c>
      <c r="CH66" s="1">
        <v>-22.77235987126457</v>
      </c>
      <c r="CI66" s="1">
        <v>8.7645344279631185</v>
      </c>
      <c r="CK66">
        <f t="array" ref="CK66:CN69">MMULT(CA66:CD69,AT66:AW69)</f>
        <v>-0.71439004875217615</v>
      </c>
      <c r="CL66">
        <v>0.16684038981520202</v>
      </c>
      <c r="CM66">
        <v>0.62101343665248021</v>
      </c>
      <c r="CN66">
        <v>-1.7603568462560615E-2</v>
      </c>
      <c r="CP66">
        <f t="array" ref="CP66:CS69">TRANSPOSE(CA66:CD69)</f>
        <v>-0.69686902149453722</v>
      </c>
      <c r="CQ66">
        <v>-0.20613272330251597</v>
      </c>
      <c r="CR66">
        <v>0.68693730955971144</v>
      </c>
      <c r="CS66">
        <v>0</v>
      </c>
      <c r="CU66" s="5">
        <f t="array" ref="CU66:CX69">MMULT(CK66:CN69,CP66:CS69)</f>
        <v>0.90930405154107197</v>
      </c>
      <c r="CV66" s="5">
        <v>0.31051649882724192</v>
      </c>
      <c r="CW66" s="5">
        <v>-2.4334990031075532E-2</v>
      </c>
      <c r="CX66" s="5">
        <v>-1.7603568462560615E-2</v>
      </c>
      <c r="CZ66" s="3">
        <f>SQRT(CU66+CV67)</f>
        <v>1.2202239490645324</v>
      </c>
      <c r="DA66" s="3">
        <f>CW68</f>
        <v>3.9128767939063884</v>
      </c>
      <c r="DB66" s="3">
        <f>CX69</f>
        <v>1.9105579090835139</v>
      </c>
      <c r="DC66" s="3">
        <f>BG73</f>
        <v>2.7361272052790708</v>
      </c>
      <c r="DD66">
        <v>6</v>
      </c>
      <c r="DE66" s="6">
        <f>DB66*DD66*DC66</f>
        <v>31.365176833826997</v>
      </c>
      <c r="DF66">
        <v>5.33</v>
      </c>
      <c r="DG66" s="6">
        <f>DC66*DF66*SQRT(0.5*(CU66+CV67)+SQRT((0.5*(CU66-CV67))^2+CV66^2))</f>
        <v>15.26771415499354</v>
      </c>
    </row>
    <row r="67" spans="1:111">
      <c r="A67">
        <v>16</v>
      </c>
      <c r="B67">
        <f t="shared" si="29"/>
        <v>0.3833333333333333</v>
      </c>
      <c r="C67">
        <v>23</v>
      </c>
      <c r="D67">
        <f>tetto!D67*coord!$B$13-tetto!G67*coord!$B$14</f>
        <v>21016981.792885356</v>
      </c>
      <c r="E67" s="5">
        <f>90-DEGREES(ACOS((coord!$B$2*($T67*1000-coord!$B$2)+coord!$C$2*($U67*1000-coord!$C$2)+coord!$D$2*($V67*1000-coord!$D$2))/(SQRT(coord!$B$2^2+coord!$C$2^2+coord!$D$2^2)*SQRT(($T67*1000-coord!$B$2)^2+($U67*1000-coord!$C$2)^2+($V67*1000-coord!$D$2)^2))))</f>
        <v>53.338854171212063</v>
      </c>
      <c r="F67">
        <f>(coord!$C$2*($V67*1000-coord!$D$2)-coord!$D$2*($U67*1000-coord!$C$2))/(SQRT(coord!$B$2^2+coord!$C$2^2+coord!$D$2^2)*SQRT(($T67*1000-coord!$B$2)^2+($U67*1000-coord!$C$2)^2+($V67*1000-coord!$D$2)^2))</f>
        <v>-0.27232812112163995</v>
      </c>
      <c r="G67">
        <f>(-coord!$B$2*($V67*1000-coord!$D$2)+coord!$D$2*($T67*1000-coord!$B$2))/(SQRT(coord!$B$2^2+coord!$C$2^2+coord!$D$2^2)*SQRT(($T67*1000-coord!$B$2)^2+($U67*1000-coord!$C$2)^2+($V67*1000-coord!$D$2)^2))</f>
        <v>-0.40257701402414464</v>
      </c>
      <c r="H67">
        <f>(coord!$B$2*($U67*1000-coord!$C$2)-coord!$C$2*($T67*1000-coord!$B$2))/(SQRT(coord!$B$2^2+coord!$C$2^2+coord!$D$2^2)*SQRT(($T67*1000-coord!$B$2)^2+($U67*1000-coord!$C$2)^2+($V67*1000-coord!$D$2)^2))</f>
        <v>0.34680717946907064</v>
      </c>
      <c r="I67">
        <f t="shared" ref="I67:I72" si="31">$F67*$CA$2+$G67*$CB$2+$H67*$CC$2</f>
        <v>0.49233879764764582</v>
      </c>
      <c r="J67">
        <f t="shared" ref="J67:J72" si="32">$F67*$CA$3+$G67*$CB$3+$H67*$CC$3</f>
        <v>-0.33779557021305895</v>
      </c>
      <c r="K67">
        <f t="shared" ref="K67:K72" si="33">$F67*$CA$4+$G67*$CB$4+$H67*$CC$4</f>
        <v>1.6548658060289712E-3</v>
      </c>
      <c r="L67">
        <f t="shared" si="30"/>
        <v>55.545829589834661</v>
      </c>
      <c r="M67" s="5">
        <f>'sv23'!$AA$3+'sv23'!$Z$3*($B67)+'sv23'!$Y$3*($B67)^2+'sv23'!$X$3*($B67)^3+'sv23'!$W$3*($B67)^4+'sv23'!$V$3*($B67)^5+'sv23'!$U$3*($B67)^6+'sv23'!$T$3*($B67)^7+'sv23'!$S$3*($B67)^8</f>
        <v>8969.5274659157276</v>
      </c>
      <c r="N67" s="5">
        <f>'sv23'!$AA$4+'sv23'!$Z$4*($B67)+'sv23'!$Y$4*($B67)^2+'sv23'!$X$4*($B67)^3+'sv23'!$W$4*($B67)^4+'sv23'!$V$4*($B67)^5+'sv23'!$U$4*($B67)^6+'sv23'!$T$4*($B67)^7+'sv23'!$S$4*($B67)^8</f>
        <v>12520.267748316746</v>
      </c>
      <c r="O67" s="5">
        <f>'sv23'!$AA$5+'sv23'!$Z$5*($B67)+'sv23'!$Y$5*($B67)^2+'sv23'!$X$5*($B67)^3+'sv23'!$W$5*($B67)^4+'sv23'!$V$5*($B67)^5+'sv23'!$U$5*($B67)^6+'sv23'!$T$5*($B67)^7+'sv23'!$S$5*($B67)^8</f>
        <v>21576.795544234756</v>
      </c>
      <c r="P67" s="5">
        <f>'sv23'!$AA$6+'sv23'!$Z$6*$B67+'sv23'!$Y$6*$B67^2+'sv23'!$X$6*$B67^3+'sv23'!$W$6*$B67^4+'sv23'!$V$6*$B67^5+'sv23'!$U$6*$B67^6+'sv23'!$T$6*$B67^7+'sv23'!$S$6*$B67^8</f>
        <v>370.05694303029111</v>
      </c>
      <c r="R67">
        <f>SQRT(($M67*1000-coord!$B$2)^2+($N67*1000-coord!$C$2)^2+($O67*1000-coord!$D$2)^2)/coord!$B$6</f>
        <v>7.0475302452046779E-2</v>
      </c>
      <c r="T67" s="5">
        <f>'sv23'!$AA$3+'sv23'!$Z$3*($B67-$R67/3600)+'sv23'!$Y$3*($B67-$R67/3600)^2+'sv23'!$X$3*($B67-$R67/3600)^3+'sv23'!$W$3*($B67-$R67/3600)^4+'sv23'!$V$3*($B67-$R67/3600)^5+'sv23'!$U$3*($B67-$R67/3600)^6+'sv23'!$T$3*($B67-$R67/3600)^7+'sv23'!$S$3*($B67-$R67/3600)^8+N67*coord!$B$7*R67</f>
        <v>8969.7169289598751</v>
      </c>
      <c r="U67" s="5">
        <f>'sv23'!$AA$4+'sv23'!$Z$4*($B67-$R67/3600)+'sv23'!$Y$4*($B67-$R67/3600)^2+'sv23'!$X$4*($B67-$R67/3600)^3+'sv23'!$W$4*($B67-$R67/3600)^4+'sv23'!$V$4*($B67-$R67/3600)^5+'sv23'!$U$4*($B67-$R67/3600)^6+'sv23'!$T$4*($B67-$R67/3600)^7+'sv23'!$S$4*($B67-$R67/3600)^8-M67*coord!$B$7*R67</f>
        <v>12520.073764742339</v>
      </c>
      <c r="V67" s="5">
        <f>'sv23'!$AA$5+'sv23'!$Z$5*($B67-$R67/3600)+'sv23'!$Y$5*($B67-$R67/3600)^2+'sv23'!$X$5*($B67-$R67/3600)^3+'sv23'!$W$5*($B67-$R67/3600)^4+'sv23'!$V$5*($B67-$R67/3600)^5+'sv23'!$U$5*($B67-$R67/3600)^6+'sv23'!$T$5*($B67-$R67/3600)^7+'sv23'!$S$5*($B67-$R67/3600)^8</f>
        <v>21576.831486834806</v>
      </c>
      <c r="W67">
        <f>coord!$B$6*P67/10^6</f>
        <v>110940.28055101694</v>
      </c>
      <c r="X67">
        <f>SQRT(($T67*1000+coord!$B$7*$R67*$U67*1000-coord!$B$2)^2+($U67*1000-coord!$B$7*$R67*$T67*1000-coord!$C$2)^2+($V67*1000-coord!$D$2)^2)</f>
        <v>21127916.433407038</v>
      </c>
      <c r="Y67" s="3">
        <f>$D67-(X67-$W67)-coord!$E$2</f>
        <v>5.6400293335318565</v>
      </c>
      <c r="Z67" s="3"/>
      <c r="AB67">
        <f>-(T67*1000-coord!$B$2)/$X67</f>
        <v>-0.21681450570851102</v>
      </c>
      <c r="AC67">
        <f>-(U67*1000-coord!$C$2)/$X67</f>
        <v>-0.54882380797416264</v>
      </c>
      <c r="AD67">
        <f>-(V67*1000-coord!$D$2)/$X67</f>
        <v>-0.80733200863878074</v>
      </c>
      <c r="AE67">
        <v>1</v>
      </c>
      <c r="AG67">
        <v>0.68027767325075672</v>
      </c>
      <c r="AH67">
        <v>-0.54882380797416264</v>
      </c>
      <c r="AI67">
        <v>0.78369210819599078</v>
      </c>
      <c r="AJ67">
        <v>0.38285080868516141</v>
      </c>
      <c r="AK67">
        <v>-0.90117221797669034</v>
      </c>
      <c r="AL67">
        <v>-0.17865697690787299</v>
      </c>
      <c r="AM67">
        <v>-0.24888172987440874</v>
      </c>
      <c r="AO67">
        <v>0.34406514496983248</v>
      </c>
      <c r="AP67">
        <v>2.4307051443984484</v>
      </c>
      <c r="AQ67">
        <v>-0.49448839962664831</v>
      </c>
      <c r="AR67">
        <v>-3.0714142601225791E-2</v>
      </c>
      <c r="AT67">
        <v>-3.300698586013566E-2</v>
      </c>
      <c r="AU67">
        <v>0.47991452584150518</v>
      </c>
      <c r="AV67">
        <v>0.30525098901908526</v>
      </c>
      <c r="AW67">
        <v>0.13775674841192215</v>
      </c>
      <c r="AY67">
        <v>-54.71044169810569</v>
      </c>
      <c r="BA67">
        <v>-21.651589796972601</v>
      </c>
      <c r="BD67">
        <f>SQRT(($T67*1000+coord!$B$7*$R67*$U67*1000-coord!$B$2-BA$66)^2+($U67*1000-coord!$B$7*$R67*$T67*1000-coord!$C$2-BA$67)^2+($V67*1000-coord!$D$2-BA$68)^2)</f>
        <v>21127919.151438467</v>
      </c>
      <c r="BE67" s="3">
        <f t="shared" ref="BE67:BE72" si="34">$D67-(BD67-$W67)-BA$69</f>
        <v>-1.5335834124811356</v>
      </c>
      <c r="BG67" s="1"/>
      <c r="BH67" s="1"/>
      <c r="BI67" s="1"/>
      <c r="BV67">
        <f>-SIN(RADIANS(BK66))*SIN(RADIANS(BL66))</f>
        <v>-0.14680018379654944</v>
      </c>
      <c r="BW67">
        <f>COS(RADIANS(BL66))</f>
        <v>0.97852404180167607</v>
      </c>
      <c r="BX67">
        <f>COS(RADIANS(BK66))*SIN(RADIANS(BL66))</f>
        <v>0.14470800134550582</v>
      </c>
      <c r="BZ67" t="s">
        <v>94</v>
      </c>
      <c r="CA67">
        <v>-0.20613272330251597</v>
      </c>
      <c r="CB67">
        <v>0.97852404180167618</v>
      </c>
      <c r="CC67">
        <v>2.8364735489303713E-17</v>
      </c>
      <c r="CD67">
        <v>0</v>
      </c>
      <c r="CE67" s="1">
        <v>-22.77235987126457</v>
      </c>
      <c r="CG67" s="1"/>
      <c r="CH67" s="1"/>
      <c r="CI67" s="1"/>
      <c r="CK67">
        <v>-0.55043231029620199</v>
      </c>
      <c r="CL67">
        <v>0.47641172142912197</v>
      </c>
      <c r="CM67">
        <v>-4.4520473873212322E-3</v>
      </c>
      <c r="CN67">
        <v>-0.25039626280845245</v>
      </c>
      <c r="CP67">
        <v>-0.14680018379654947</v>
      </c>
      <c r="CQ67">
        <v>0.97852404180167618</v>
      </c>
      <c r="CR67">
        <v>0.14470800134550585</v>
      </c>
      <c r="CS67">
        <v>0</v>
      </c>
      <c r="CU67" s="5">
        <v>0.31051649882724203</v>
      </c>
      <c r="CV67" s="5">
        <v>0.5796424343295703</v>
      </c>
      <c r="CW67" s="5">
        <v>-0.31234248756705191</v>
      </c>
      <c r="CX67" s="5">
        <v>-0.25039626280845245</v>
      </c>
    </row>
    <row r="68" spans="1:111">
      <c r="A68">
        <v>16</v>
      </c>
      <c r="B68">
        <f t="shared" si="29"/>
        <v>0.3833333333333333</v>
      </c>
      <c r="C68">
        <v>10</v>
      </c>
      <c r="D68">
        <f>tetto!D68*coord!$B$13-tetto!G68*coord!$B$14</f>
        <v>23064886.905468874</v>
      </c>
      <c r="E68" s="5">
        <f>90-DEGREES(ACOS((coord!$B$2*($T68*1000-coord!$B$2)+coord!$C$2*($U68*1000-coord!$C$2)+coord!$D$2*($V68*1000-coord!$D$2))/(SQRT(coord!$B$2^2+coord!$C$2^2+coord!$D$2^2)*SQRT(($T68*1000-coord!$B$2)^2+($U68*1000-coord!$C$2)^2+($V68*1000-coord!$D$2)^2))))</f>
        <v>24.424905393029647</v>
      </c>
      <c r="F68">
        <f>(coord!$C$2*($V68*1000-coord!$D$2)-coord!$D$2*($U68*1000-coord!$C$2))/(SQRT(coord!$B$2^2+coord!$C$2^2+coord!$D$2^2)*SQRT(($T68*1000-coord!$B$2)^2+($U68*1000-coord!$C$2)^2+($V68*1000-coord!$D$2)^2))</f>
        <v>0.64405771388766231</v>
      </c>
      <c r="G68">
        <f>(-coord!$B$2*($V68*1000-coord!$D$2)+coord!$D$2*($T68*1000-coord!$B$2))/(SQRT(coord!$B$2^2+coord!$C$2^2+coord!$D$2^2)*SQRT(($T68*1000-coord!$B$2)^2+($U68*1000-coord!$C$2)^2+($V68*1000-coord!$D$2)^2))</f>
        <v>-0.31567448586383684</v>
      </c>
      <c r="H68">
        <f>(coord!$B$2*($U68*1000-coord!$C$2)-coord!$C$2*($T68*1000-coord!$B$2))/(SQRT(coord!$B$2^2+coord!$C$2^2+coord!$D$2^2)*SQRT(($T68*1000-coord!$B$2)^2+($U68*1000-coord!$C$2)^2+($V68*1000-coord!$D$2)^2))</f>
        <v>-0.56085365760724804</v>
      </c>
      <c r="I68">
        <f t="shared" si="31"/>
        <v>-0.79620978168812218</v>
      </c>
      <c r="J68">
        <f t="shared" si="32"/>
        <v>-0.44165641109139708</v>
      </c>
      <c r="K68">
        <f t="shared" si="33"/>
        <v>-2.6726730154617573E-3</v>
      </c>
      <c r="L68">
        <f t="shared" si="30"/>
        <v>-60.982931520735804</v>
      </c>
      <c r="M68" s="5">
        <f>'sv10'!$AA$3+'sv10'!$Z$3*($B68)+'sv10'!$Y$3*($B68)^2+'sv10'!$X$3*($B68)^3+'sv10'!$W$3*($B68)^4+'sv10'!$V$3*($B68)^5+'sv10'!$U$3*($B68)^6+'sv10'!$T$3*($B68)^7+'sv10'!$S$3*($B68)^8</f>
        <v>7671.3452090346645</v>
      </c>
      <c r="N68" s="5">
        <f>'sv10'!$AA$4+'sv10'!$Z$4*($B68)+'sv10'!$Y$4*($B68)^2+'sv10'!$X$4*($B68)^3+'sv10'!$W$4*($B68)^4+'sv10'!$V$4*($B68)^5+'sv10'!$U$4*($B68)^6+'sv10'!$T$4*($B68)^7+'sv10'!$S$4*($B68)^8</f>
        <v>-17140.898905476282</v>
      </c>
      <c r="O68" s="5">
        <f>'sv10'!$AA$5+'sv10'!$Z$5*($B68)+'sv10'!$Y$5*($B68)^2+'sv10'!$X$5*($B68)^3+'sv10'!$W$5*($B68)^4+'sv10'!$V$5*($B68)^5+'sv10'!$U$5*($B68)^6+'sv10'!$T$5*($B68)^7+'sv10'!$S$5*($B68)^8</f>
        <v>18457.149390322033</v>
      </c>
      <c r="P68" s="5">
        <f>'sv10'!$AA$6+'sv10'!$Z$6*$B68+'sv10'!$Y$6*$B68^2+'sv10'!$X$6*$B68^3+'sv10'!$W$6*$B68^4+'sv10'!$V$6*$B68^5+'sv10'!$U$6*$B68^6+'sv10'!$T$6*$B68^7+'sv10'!$S$6*$B68^8</f>
        <v>-43.001126002665956</v>
      </c>
      <c r="R68">
        <f>SQRT(($M68*1000-coord!$B$2)^2+($N68*1000-coord!$C$2)^2+($O68*1000-coord!$D$2)^2)/coord!$B$6</f>
        <v>7.6892954312315479E-2</v>
      </c>
      <c r="T68" s="5">
        <f>'sv10'!$AA$3+'sv10'!$Z$3*($B68-$R68/3600)+'sv10'!$Y$3*($B68-$R68/3600)^2+'sv10'!$X$3*($B68-$R68/3600)^3+'sv10'!$W$3*($B68-$R68/3600)^4+'sv10'!$V$3*($B68-$R68/3600)^5+'sv10'!$U$3*($B68-$R68/3600)^6+'sv10'!$T$3*($B68-$R68/3600)^7+'sv10'!$S$3*($B68-$R68/3600)^8+N68*coord!$B$7*R68</f>
        <v>7671.1727101494671</v>
      </c>
      <c r="U68" s="5">
        <f>'sv10'!$AA$4+'sv10'!$Z$4*($B68-$R68/3600)+'sv10'!$Y$4*($B68-$R68/3600)^2+'sv10'!$X$4*($B68-$R68/3600)^3+'sv10'!$W$4*($B68-$R68/3600)^4+'sv10'!$V$4*($B68-$R68/3600)^5+'sv10'!$U$4*($B68-$R68/3600)^6+'sv10'!$T$4*($B68-$R68/3600)^7+'sv10'!$S$4*($B68-$R68/3600)^8-M68*coord!$B$7*R68</f>
        <v>-17141.110216855392</v>
      </c>
      <c r="V68" s="5">
        <f>'sv10'!$AA$5+'sv10'!$Z$5*($B68-$R68/3600)+'sv10'!$Y$5*($B68-$R68/3600)^2+'sv10'!$X$5*($B68-$R68/3600)^3+'sv10'!$W$5*($B68-$R68/3600)^4+'sv10'!$V$5*($B68-$R68/3600)^5+'sv10'!$U$5*($B68-$R68/3600)^6+'sv10'!$T$5*($B68-$R68/3600)^7+'sv10'!$S$5*($B68-$R68/3600)^8</f>
        <v>18457.023455174658</v>
      </c>
      <c r="W68">
        <f>coord!$B$6*P68/10^6</f>
        <v>-12891.413261106942</v>
      </c>
      <c r="X68">
        <f>SQRT(($T68*1000+coord!$B$7*$R68*$U68*1000-coord!$B$2)^2+($U68*1000-coord!$B$7*$R68*$T68*1000-coord!$C$2)^2+($V68*1000-coord!$D$2)^2)</f>
        <v>23052012.698764358</v>
      </c>
      <c r="Y68" s="3">
        <f>$D68-(X68-$W68)-coord!$E$2</f>
        <v>-17.206556592136621</v>
      </c>
      <c r="Z68" s="3"/>
      <c r="AB68">
        <f>-(T68*1000-coord!$B$2)/$X68</f>
        <v>-0.14238646239880848</v>
      </c>
      <c r="AC68">
        <f>-(U68*1000-coord!$C$2)/$X68</f>
        <v>0.78369210819599078</v>
      </c>
      <c r="AD68">
        <f>-(V68*1000-coord!$D$2)/$X68</f>
        <v>-0.60460816862302602</v>
      </c>
      <c r="AE68">
        <v>1</v>
      </c>
      <c r="AG68">
        <v>-0.72492122024557071</v>
      </c>
      <c r="AH68">
        <v>-0.80733200863878074</v>
      </c>
      <c r="AI68">
        <v>-0.60460816862302602</v>
      </c>
      <c r="AJ68">
        <v>-0.45456098286861307</v>
      </c>
      <c r="AK68">
        <v>-7.2557430784096211E-2</v>
      </c>
      <c r="AL68">
        <v>-0.83739312814693501</v>
      </c>
      <c r="AM68">
        <v>4.6451305663043785E-2</v>
      </c>
      <c r="AO68">
        <v>1.1237997994376152</v>
      </c>
      <c r="AP68">
        <v>-0.49448839962664831</v>
      </c>
      <c r="AQ68">
        <v>2.4581220280747242</v>
      </c>
      <c r="AR68">
        <v>-3.4549216336439779</v>
      </c>
      <c r="AT68">
        <v>1.4706421865942305</v>
      </c>
      <c r="AU68">
        <v>0.30525098901908532</v>
      </c>
      <c r="AV68">
        <v>2.4083137614303869</v>
      </c>
      <c r="AW68">
        <v>1.8587088535519194</v>
      </c>
      <c r="AY68">
        <v>26.784185760669221</v>
      </c>
      <c r="BA68">
        <v>9.2860032035168913</v>
      </c>
      <c r="BD68">
        <f>SQRT(($T68*1000+coord!$B$7*$R68*$U68*1000-coord!$B$2-BA$66)^2+($U68*1000-coord!$B$7*$R68*$T68*1000-coord!$C$2-BA$67)^2+($V68*1000-coord!$D$2-BA$68)^2)</f>
        <v>23051989.020818736</v>
      </c>
      <c r="BE68" s="3">
        <f t="shared" si="34"/>
        <v>2.0158077119163806</v>
      </c>
      <c r="BG68" s="1"/>
      <c r="BH68" s="1"/>
      <c r="BI68" s="1"/>
      <c r="BV68">
        <f>COS(RADIANS(BK66))</f>
        <v>0.70201372701575115</v>
      </c>
      <c r="BW68">
        <v>0</v>
      </c>
      <c r="BX68">
        <f>SIN(RADIANS(BK66))</f>
        <v>0.71216341318650622</v>
      </c>
      <c r="BZ68" t="s">
        <v>95</v>
      </c>
      <c r="CA68">
        <v>0.68693730955971144</v>
      </c>
      <c r="CB68">
        <v>0.14470800134550585</v>
      </c>
      <c r="CC68">
        <v>0.71216341318650622</v>
      </c>
      <c r="CD68">
        <v>0</v>
      </c>
      <c r="CE68" s="1">
        <v>8.7645344279631185</v>
      </c>
      <c r="CG68" s="1"/>
      <c r="CH68" s="1"/>
      <c r="CI68" s="1"/>
      <c r="CK68">
        <v>2.7692433657009965</v>
      </c>
      <c r="CL68">
        <v>0.26416232800615197</v>
      </c>
      <c r="CM68">
        <v>2.7695241958780406</v>
      </c>
      <c r="CN68">
        <v>2.6272998101449652</v>
      </c>
      <c r="CP68">
        <v>0.70201372701575127</v>
      </c>
      <c r="CQ68">
        <v>2.8364735489303713E-17</v>
      </c>
      <c r="CR68">
        <v>0.71216341318650622</v>
      </c>
      <c r="CS68">
        <v>0</v>
      </c>
      <c r="CU68" s="5">
        <v>-2.4334990031074977E-2</v>
      </c>
      <c r="CV68" s="5">
        <v>-0.31234248756705163</v>
      </c>
      <c r="CW68" s="5">
        <v>3.9128767939063884</v>
      </c>
      <c r="CX68" s="5">
        <v>2.6272998101449652</v>
      </c>
    </row>
    <row r="69" spans="1:111">
      <c r="A69">
        <v>16</v>
      </c>
      <c r="B69">
        <f t="shared" si="29"/>
        <v>0.3833333333333333</v>
      </c>
      <c r="C69">
        <v>4</v>
      </c>
      <c r="D69">
        <f>tetto!D69*coord!$B$13-tetto!G69*coord!$B$14</f>
        <v>21112331.473295402</v>
      </c>
      <c r="E69" s="5">
        <f>90-DEGREES(ACOS((coord!$B$2*($T69*1000-coord!$B$2)+coord!$C$2*($U69*1000-coord!$C$2)+coord!$D$2*($V69*1000-coord!$D$2))/(SQRT(coord!$B$2^2+coord!$C$2^2+coord!$D$2^2)*SQRT(($T69*1000-coord!$B$2)^2+($U69*1000-coord!$C$2)^2+($V69*1000-coord!$D$2)^2))))</f>
        <v>55.224867490814631</v>
      </c>
      <c r="F69">
        <f>(coord!$C$2*($V69*1000-coord!$D$2)-coord!$D$2*($U69*1000-coord!$C$2))/(SQRT(coord!$B$2^2+coord!$C$2^2+coord!$D$2^2)*SQRT(($T69*1000-coord!$B$2)^2+($U69*1000-coord!$C$2)^2+($V69*1000-coord!$D$2)^2))</f>
        <v>0.33775221381932341</v>
      </c>
      <c r="G69">
        <f>(-coord!$B$2*($V69*1000-coord!$D$2)+coord!$D$2*($T69*1000-coord!$B$2))/(SQRT(coord!$B$2^2+coord!$C$2^2+coord!$D$2^2)*SQRT(($T69*1000-coord!$B$2)^2+($U69*1000-coord!$C$2)^2+($V69*1000-coord!$D$2)^2))</f>
        <v>0.2575324706757755</v>
      </c>
      <c r="H69">
        <f>(coord!$B$2*($U69*1000-coord!$C$2)-coord!$C$2*($T69*1000-coord!$B$2))/(SQRT(coord!$B$2^2+coord!$C$2^2+coord!$D$2^2)*SQRT(($T69*1000-coord!$B$2)^2+($U69*1000-coord!$C$2)^2+($V69*1000-coord!$D$2)^2))</f>
        <v>-0.38066745581069433</v>
      </c>
      <c r="I69">
        <f t="shared" si="31"/>
        <v>-0.54040864081063744</v>
      </c>
      <c r="J69">
        <f t="shared" si="32"/>
        <v>0.18237995302383686</v>
      </c>
      <c r="K69">
        <f t="shared" si="33"/>
        <v>-1.815758197741324E-3</v>
      </c>
      <c r="L69">
        <f t="shared" si="30"/>
        <v>251.35121920192725</v>
      </c>
      <c r="M69" s="5">
        <f>'sv04'!$AA$3+'sv04'!$Z$3*($B69)+'sv04'!$Y$3*($B69)^2+'sv04'!$X$3*($B69)^3+'sv04'!$W$3*($B69)^4+'sv04'!$V$3*($B69)^5+'sv04'!$U$3*($B69)^6+'sv04'!$T$3*($B69)^7+'sv04'!$S$3*($B69)^8</f>
        <v>21389.261605623113</v>
      </c>
      <c r="N69" s="5">
        <f>'sv04'!$AA$4+'sv04'!$Z$4*($B69)+'sv04'!$Y$4*($B69)^2+'sv04'!$X$4*($B69)^3+'sv04'!$W$4*($B69)^4+'sv04'!$V$4*($B69)^5+'sv04'!$U$4*($B69)^6+'sv04'!$T$4*($B69)^7+'sv04'!$S$4*($B69)^8</f>
        <v>-7168.1002760591582</v>
      </c>
      <c r="O69" s="5">
        <f>'sv04'!$AA$5+'sv04'!$Z$5*($B69)+'sv04'!$Y$5*($B69)^2+'sv04'!$X$5*($B69)^3+'sv04'!$W$5*($B69)^4+'sv04'!$V$5*($B69)^5+'sv04'!$U$5*($B69)^6+'sv04'!$T$5*($B69)^7+'sv04'!$S$5*($B69)^8</f>
        <v>14128.072240157895</v>
      </c>
      <c r="P69" s="5">
        <f>'sv04'!$AA$6+'sv04'!$Z$6*$B69+'sv04'!$Y$6*$B69^2+'sv04'!$X$6*$B69^3+'sv04'!$W$6*$B69^4+'sv04'!$V$6*$B69^5+'sv04'!$U$6*$B69^6+'sv04'!$T$6*$B69^7+'sv04'!$S$6*$B69^8</f>
        <v>86.59882061521806</v>
      </c>
      <c r="R69">
        <f>SQRT(($M69*1000-coord!$B$2)^2+($N69*1000-coord!$C$2)^2+($O69*1000-coord!$D$2)^2)/coord!$B$6</f>
        <v>7.0509746771175164E-2</v>
      </c>
      <c r="T69" s="5">
        <f>'sv04'!$AA$3+'sv04'!$Z$3*($B69-$R69/3600)+'sv04'!$Y$3*($B69-$R69/3600)^2+'sv04'!$X$3*($B69-$R69/3600)^3+'sv04'!$W$3*($B69-$R69/3600)^4+'sv04'!$V$3*($B69-$R69/3600)^5+'sv04'!$U$3*($B69-$R69/3600)^6+'sv04'!$T$3*($B69-$R69/3600)^7+'sv04'!$S$3*($B69-$R69/3600)^8+N69*coord!$B$7*R69</f>
        <v>21389.10092729966</v>
      </c>
      <c r="U69" s="5">
        <f>'sv04'!$AA$4+'sv04'!$Z$4*($B69-$R69/3600)+'sv04'!$Y$4*($B69-$R69/3600)^2+'sv04'!$X$4*($B69-$R69/3600)^3+'sv04'!$W$4*($B69-$R69/3600)^4+'sv04'!$V$4*($B69-$R69/3600)^5+'sv04'!$U$4*($B69-$R69/3600)^6+'sv04'!$T$4*($B69-$R69/3600)^7+'sv04'!$S$4*($B69-$R69/3600)^8-M69*coord!$B$7*R69</f>
        <v>-7168.2466956446169</v>
      </c>
      <c r="V69" s="5">
        <f>'sv04'!$AA$5+'sv04'!$Z$5*($B69-$R69/3600)+'sv04'!$Y$5*($B69-$R69/3600)^2+'sv04'!$X$5*($B69-$R69/3600)^3+'sv04'!$W$5*($B69-$R69/3600)^4+'sv04'!$V$5*($B69-$R69/3600)^5+'sv04'!$U$5*($B69-$R69/3600)^6+'sv04'!$T$5*($B69-$R69/3600)^7+'sv04'!$S$5*($B69-$R69/3600)^8</f>
        <v>14128.236668942189</v>
      </c>
      <c r="W69">
        <f>coord!$B$6*P69/10^6</f>
        <v>25961.673292137293</v>
      </c>
      <c r="X69">
        <f>SQRT(($T69*1000+coord!$B$7*$R69*$U69*1000-coord!$B$2)^2+($U69*1000-coord!$B$7*$R69*$T69*1000-coord!$C$2)^2+($V69*1000-coord!$D$2)^2)</f>
        <v>21138304.334887199</v>
      </c>
      <c r="Y69" s="3">
        <f>$D69-(X69-$W69)-coord!$E$2</f>
        <v>-11.188299659639597</v>
      </c>
      <c r="Z69" s="3"/>
      <c r="AB69">
        <f>-(T69*1000-coord!$B$2)/$X69</f>
        <v>-0.80423777078665937</v>
      </c>
      <c r="AC69">
        <f>-(U69*1000-coord!$C$2)/$X69</f>
        <v>0.38285080868516141</v>
      </c>
      <c r="AD69">
        <f>-(V69*1000-coord!$D$2)/$X69</f>
        <v>-0.45456098286861307</v>
      </c>
      <c r="AE69">
        <v>1</v>
      </c>
      <c r="AG69">
        <v>1</v>
      </c>
      <c r="AH69">
        <v>1</v>
      </c>
      <c r="AI69">
        <v>1</v>
      </c>
      <c r="AJ69">
        <v>1</v>
      </c>
      <c r="AK69">
        <v>1</v>
      </c>
      <c r="AL69">
        <v>1</v>
      </c>
      <c r="AM69">
        <v>1</v>
      </c>
      <c r="AO69">
        <v>-3.182997999214038</v>
      </c>
      <c r="AP69">
        <v>-3.0714142601225791E-2</v>
      </c>
      <c r="AQ69">
        <v>-3.4549216336439779</v>
      </c>
      <c r="AR69">
        <v>7</v>
      </c>
      <c r="AT69">
        <v>1.8686725080745177</v>
      </c>
      <c r="AU69">
        <v>0.1377567484119224</v>
      </c>
      <c r="AV69">
        <v>1.8587088535519198</v>
      </c>
      <c r="AW69">
        <v>1.9105579090835139</v>
      </c>
      <c r="AY69">
        <v>-24.714823823422194</v>
      </c>
      <c r="BA69">
        <v>4.4555813172586625</v>
      </c>
      <c r="BD69">
        <f>SQRT(($T69*1000+coord!$B$7*$R69*$U69*1000-coord!$B$2-BA$66)^2+($U69*1000-coord!$B$7*$R69*$T69*1000-coord!$C$2-BA$67)^2+($V69*1000-coord!$D$2-BA$68)^2)</f>
        <v>21138285.637488961</v>
      </c>
      <c r="BE69" s="3">
        <f t="shared" si="34"/>
        <v>3.0535172609857852</v>
      </c>
      <c r="BG69" s="1"/>
      <c r="BH69" s="1"/>
      <c r="BI69" s="1"/>
      <c r="CA69">
        <v>0</v>
      </c>
      <c r="CB69">
        <v>0</v>
      </c>
      <c r="CC69">
        <v>0</v>
      </c>
      <c r="CD69">
        <v>1</v>
      </c>
      <c r="CG69" s="1"/>
      <c r="CH69" s="1"/>
      <c r="CI69" s="1"/>
      <c r="CK69">
        <v>1.8686725080745177</v>
      </c>
      <c r="CL69">
        <v>0.1377567484119224</v>
      </c>
      <c r="CM69">
        <v>1.8587088535519198</v>
      </c>
      <c r="CN69">
        <v>1.9105579090835139</v>
      </c>
      <c r="CP69">
        <v>0</v>
      </c>
      <c r="CQ69">
        <v>0</v>
      </c>
      <c r="CR69">
        <v>0</v>
      </c>
      <c r="CS69">
        <v>1</v>
      </c>
      <c r="CU69" s="5">
        <v>-1.7603568462559505E-2</v>
      </c>
      <c r="CV69" s="5">
        <v>-0.25039626280845212</v>
      </c>
      <c r="CW69" s="5">
        <v>2.6272998101449656</v>
      </c>
      <c r="CX69" s="5">
        <v>1.9105579090835139</v>
      </c>
    </row>
    <row r="70" spans="1:111">
      <c r="A70">
        <v>16</v>
      </c>
      <c r="B70">
        <f t="shared" si="29"/>
        <v>0.3833333333333333</v>
      </c>
      <c r="C70">
        <v>20</v>
      </c>
      <c r="D70">
        <f>tetto!D70*coord!$B$13-tetto!G70*coord!$B$14</f>
        <v>22904390.662914127</v>
      </c>
      <c r="E70" s="5">
        <f>90-DEGREES(ACOS((coord!$B$2*($T70*1000-coord!$B$2)+coord!$C$2*($U70*1000-coord!$C$2)+coord!$D$2*($V70*1000-coord!$D$2))/(SQRT(coord!$B$2^2+coord!$C$2^2+coord!$D$2^2)*SQRT(($T70*1000-coord!$B$2)^2+($U70*1000-coord!$C$2)^2+($V70*1000-coord!$D$2)^2))))</f>
        <v>28.484026529468984</v>
      </c>
      <c r="F70">
        <f>(coord!$C$2*($V70*1000-coord!$D$2)-coord!$D$2*($U70*1000-coord!$C$2))/(SQRT(coord!$B$2^2+coord!$C$2^2+coord!$D$2^2)*SQRT(($T70*1000-coord!$B$2)^2+($U70*1000-coord!$C$2)^2+($V70*1000-coord!$D$2)^2))</f>
        <v>-0.62911716139621598</v>
      </c>
      <c r="G70">
        <f>(-coord!$B$2*($V70*1000-coord!$D$2)+coord!$D$2*($T70*1000-coord!$B$2))/(SQRT(coord!$B$2^2+coord!$C$2^2+coord!$D$2^2)*SQRT(($T70*1000-coord!$B$2)^2+($U70*1000-coord!$C$2)^2+($V70*1000-coord!$D$2)^2))</f>
        <v>0.2533196517014733</v>
      </c>
      <c r="H70">
        <f>(coord!$B$2*($U70*1000-coord!$C$2)-coord!$C$2*($T70*1000-coord!$B$2))/(SQRT(coord!$B$2^2+coord!$C$2^2+coord!$D$2^2)*SQRT(($T70*1000-coord!$B$2)^2+($U70*1000-coord!$C$2)^2+($V70*1000-coord!$D$2)^2))</f>
        <v>0.55910109921185303</v>
      </c>
      <c r="I70">
        <f t="shared" si="31"/>
        <v>0.79372155187180748</v>
      </c>
      <c r="J70">
        <f t="shared" si="32"/>
        <v>0.37756097007214118</v>
      </c>
      <c r="K70">
        <f t="shared" si="33"/>
        <v>2.664547557113317E-3</v>
      </c>
      <c r="L70">
        <f t="shared" si="30"/>
        <v>115.43970468198323</v>
      </c>
      <c r="M70" s="5">
        <f>'sv20'!$AA$3+'sv20'!$Z$3*($B70)+'sv20'!$Y$3*($B70)^2+'sv20'!$X$3*($B70)^3+'sv20'!$W$3*($B70)^4+'sv20'!$V$3*($B70)^5+'sv20'!$U$3*($B70)^6+'sv20'!$T$3*($B70)^7+'sv20'!$S$3*($B70)^8</f>
        <v>14184.031171995442</v>
      </c>
      <c r="N70" s="5">
        <f>'sv20'!$AA$4+'sv20'!$Z$4*($B70)+'sv20'!$Y$4*($B70)^2+'sv20'!$X$4*($B70)^3+'sv20'!$W$4*($B70)^4+'sv20'!$V$4*($B70)^5+'sv20'!$U$4*($B70)^6+'sv20'!$T$4*($B70)^7+'sv20'!$S$4*($B70)^8</f>
        <v>21580.576245841672</v>
      </c>
      <c r="O70" s="5">
        <f>'sv20'!$AA$5+'sv20'!$Z$5*($B70)+'sv20'!$Y$5*($B70)^2+'sv20'!$X$5*($B70)^3+'sv20'!$W$5*($B70)^4+'sv20'!$V$5*($B70)^5+'sv20'!$U$5*($B70)^6+'sv20'!$T$5*($B70)^7+'sv20'!$S$5*($B70)^8</f>
        <v>6182.4561850789032</v>
      </c>
      <c r="P70" s="5">
        <f>'sv20'!$AA$6+'sv20'!$Z$6*$B70+'sv20'!$Y$6*$B70^2+'sv20'!$X$6*$B70^3+'sv20'!$W$6*$B70^4+'sv20'!$V$6*$B70^5+'sv20'!$U$6*$B70^6+'sv20'!$T$6*$B70^7+'sv20'!$S$6*$B70^8</f>
        <v>55.81791090364451</v>
      </c>
      <c r="R70">
        <f>SQRT(($M70*1000-coord!$B$2)^2+($N70*1000-coord!$C$2)^2+($O70*1000-coord!$D$2)^2)/coord!$B$6</f>
        <v>7.6456844476087416E-2</v>
      </c>
      <c r="T70" s="5">
        <f>'sv20'!$AA$3+'sv20'!$Z$3*($B70-$R70/3600)+'sv20'!$Y$3*($B70-$R70/3600)^2+'sv20'!$X$3*($B70-$R70/3600)^3+'sv20'!$W$3*($B70-$R70/3600)^4+'sv20'!$V$3*($B70-$R70/3600)^5+'sv20'!$U$3*($B70-$R70/3600)^6+'sv20'!$T$3*($B70-$R70/3600)^7+'sv20'!$S$3*($B70-$R70/3600)^8+N70*coord!$B$7*R70</f>
        <v>14184.151062504898</v>
      </c>
      <c r="U70" s="5">
        <f>'sv20'!$AA$4+'sv20'!$Z$4*($B70-$R70/3600)+'sv20'!$Y$4*($B70-$R70/3600)^2+'sv20'!$X$4*($B70-$R70/3600)^3+'sv20'!$W$4*($B70-$R70/3600)^4+'sv20'!$V$4*($B70-$R70/3600)^5+'sv20'!$U$4*($B70-$R70/3600)^6+'sv20'!$T$4*($B70-$R70/3600)^7+'sv20'!$S$4*($B70-$R70/3600)^8-M70*coord!$B$7*R70</f>
        <v>21580.430471301206</v>
      </c>
      <c r="V70" s="5">
        <f>'sv20'!$AA$5+'sv20'!$Z$5*($B70-$R70/3600)+'sv20'!$Y$5*($B70-$R70/3600)^2+'sv20'!$X$5*($B70-$R70/3600)^3+'sv20'!$W$5*($B70-$R70/3600)^4+'sv20'!$V$5*($B70-$R70/3600)^5+'sv20'!$U$5*($B70-$R70/3600)^6+'sv20'!$T$5*($B70-$R70/3600)^7+'sv20'!$S$5*($B70-$R70/3600)^8</f>
        <v>6182.6845405476433</v>
      </c>
      <c r="W70">
        <f>coord!$B$6*P70/10^6</f>
        <v>16733.788710228589</v>
      </c>
      <c r="X70">
        <f>SQRT(($T70*1000+coord!$B$7*$R70*$U70*1000-coord!$B$2)^2+($U70*1000-coord!$B$7*$R70*$T70*1000-coord!$C$2)^2+($V70*1000-coord!$D$2)^2)</f>
        <v>22921101.922646586</v>
      </c>
      <c r="Y70" s="3">
        <f>$D70-(X70-$W70)-coord!$E$2</f>
        <v>22.528977770358324</v>
      </c>
      <c r="Z70" s="3"/>
      <c r="AB70">
        <f>-(T70*1000-coord!$B$2)/$X70</f>
        <v>-0.42734738167308339</v>
      </c>
      <c r="AC70">
        <f>-(U70*1000-coord!$C$2)/$X70</f>
        <v>-0.90117221797669034</v>
      </c>
      <c r="AD70">
        <f>-(V70*1000-coord!$D$2)/$X70</f>
        <v>-7.2557430784096211E-2</v>
      </c>
      <c r="AE70">
        <v>1</v>
      </c>
      <c r="BD70">
        <f>SQRT(($T70*1000+coord!$B$7*$R70*$U70*1000-coord!$B$2-BA$66)^2+($U70*1000-coord!$B$7*$R70*$T70*1000-coord!$C$2-BA$67)^2+($V70*1000-coord!$D$2-BA$68)^2)</f>
        <v>22921117.473041028</v>
      </c>
      <c r="BE70" s="3">
        <f t="shared" si="34"/>
        <v>2.5230020111672218</v>
      </c>
      <c r="BG70" s="1"/>
      <c r="BH70" s="1"/>
      <c r="BI70" s="1"/>
      <c r="CG70" s="1"/>
      <c r="CH70" s="1"/>
      <c r="CI70" s="1"/>
    </row>
    <row r="71" spans="1:111">
      <c r="A71">
        <v>16</v>
      </c>
      <c r="B71">
        <f t="shared" si="29"/>
        <v>0.3833333333333333</v>
      </c>
      <c r="C71">
        <v>13</v>
      </c>
      <c r="D71">
        <f>tetto!D71*coord!$B$13-tetto!G71*coord!$B$14</f>
        <v>20106944.837001283</v>
      </c>
      <c r="E71" s="5">
        <f>90-DEGREES(ACOS((coord!$B$2*($T71*1000-coord!$B$2)+coord!$C$2*($U71*1000-coord!$C$2)+coord!$D$2*($V71*1000-coord!$D$2))/(SQRT(coord!$B$2^2+coord!$C$2^2+coord!$D$2^2)*SQRT(($T71*1000-coord!$B$2)^2+($U71*1000-coord!$C$2)^2+($V71*1000-coord!$D$2)^2))))</f>
        <v>77.524657983823346</v>
      </c>
      <c r="F71">
        <f>(coord!$C$2*($V71*1000-coord!$D$2)-coord!$D$2*($U71*1000-coord!$C$2))/(SQRT(coord!$B$2^2+coord!$C$2^2+coord!$D$2^2)*SQRT(($T71*1000-coord!$B$2)^2+($U71*1000-coord!$C$2)^2+($V71*1000-coord!$D$2)^2))</f>
        <v>-5.2183374444994537E-3</v>
      </c>
      <c r="G71">
        <f>(-coord!$B$2*($V71*1000-coord!$D$2)+coord!$D$2*($T71*1000-coord!$B$2))/(SQRT(coord!$B$2^2+coord!$C$2^2+coord!$D$2^2)*SQRT(($T71*1000-coord!$B$2)^2+($U71*1000-coord!$C$2)^2+($V71*1000-coord!$D$2)^2))</f>
        <v>-0.21052378698843949</v>
      </c>
      <c r="H71">
        <f>(coord!$B$2*($U71*1000-coord!$C$2)-coord!$C$2*($T71*1000-coord!$B$2))/(SQRT(coord!$B$2^2+coord!$C$2^2+coord!$D$2^2)*SQRT(($T71*1000-coord!$B$2)^2+($U71*1000-coord!$C$2)^2+($V71*1000-coord!$D$2)^2))</f>
        <v>4.8134178760187767E-2</v>
      </c>
      <c r="I71">
        <f t="shared" si="31"/>
        <v>6.8332274010666605E-2</v>
      </c>
      <c r="J71">
        <f t="shared" si="32"/>
        <v>-0.20492691968323989</v>
      </c>
      <c r="K71">
        <f t="shared" si="33"/>
        <v>2.3025252731610768E-4</v>
      </c>
      <c r="L71">
        <f t="shared" si="30"/>
        <v>18.440811849030695</v>
      </c>
      <c r="M71" s="5">
        <f>'sv13'!$AA$3+'sv13'!$Z$3*($B71)+'sv13'!$Y$3*($B71)^2+'sv13'!$X$3*($B71)^3+'sv13'!$W$3*($B71)^4+'sv13'!$V$3*($B71)^5+'sv13'!$U$3*($B71)^6+'sv13'!$T$3*($B71)^7+'sv13'!$S$3*($B71)^8</f>
        <v>14822.687456989543</v>
      </c>
      <c r="N71" s="5">
        <f>'sv13'!$AA$4+'sv13'!$Z$4*($B71)+'sv13'!$Y$4*($B71)^2+'sv13'!$X$4*($B71)^3+'sv13'!$W$4*($B71)^4+'sv13'!$V$4*($B71)^5+'sv13'!$U$4*($B71)^6+'sv13'!$T$4*($B71)^7+'sv13'!$S$4*($B71)^8</f>
        <v>4533.3218634958021</v>
      </c>
      <c r="O71" s="5">
        <f>'sv13'!$AA$5+'sv13'!$Z$5*($B71)+'sv13'!$Y$5*($B71)^2+'sv13'!$X$5*($B71)^3+'sv13'!$W$5*($B71)^4+'sv13'!$V$5*($B71)^5+'sv13'!$U$5*($B71)^6+'sv13'!$T$5*($B71)^7+'sv13'!$S$5*($B71)^8</f>
        <v>21433.435715049724</v>
      </c>
      <c r="P71" s="5">
        <f>'sv13'!$AA$6+'sv13'!$Z$6*$B71+'sv13'!$Y$6*$B71^2+'sv13'!$X$6*$B71^3+'sv13'!$W$6*$B71^4+'sv13'!$V$6*$B71^5+'sv13'!$U$6*$B71^6+'sv13'!$T$6*$B71^7+'sv13'!$S$6*$B71^8</f>
        <v>304.21955504430059</v>
      </c>
      <c r="R71">
        <f>SQRT(($M71*1000-coord!$B$2)^2+($N71*1000-coord!$C$2)^2+($O71*1000-coord!$D$2)^2)/coord!$B$6</f>
        <v>6.7373812339037303E-2</v>
      </c>
      <c r="T71" s="5">
        <f>'sv13'!$AA$3+'sv13'!$Z$3*($B71-$R71/3600)+'sv13'!$Y$3*($B71-$R71/3600)^2+'sv13'!$X$3*($B71-$R71/3600)^3+'sv13'!$W$3*($B71-$R71/3600)^4+'sv13'!$V$3*($B71-$R71/3600)^5+'sv13'!$U$3*($B71-$R71/3600)^6+'sv13'!$T$3*($B71-$R71/3600)^7+'sv13'!$S$3*($B71-$R71/3600)^8+N71*coord!$B$7*R71</f>
        <v>14822.832555215247</v>
      </c>
      <c r="U71" s="5">
        <f>'sv13'!$AA$4+'sv13'!$Z$4*($B71-$R71/3600)+'sv13'!$Y$4*($B71-$R71/3600)^2+'sv13'!$X$4*($B71-$R71/3600)^3+'sv13'!$W$4*($B71-$R71/3600)^4+'sv13'!$V$4*($B71-$R71/3600)^5+'sv13'!$U$4*($B71-$R71/3600)^6+'sv13'!$T$4*($B71-$R71/3600)^7+'sv13'!$S$4*($B71-$R71/3600)^8-M71*coord!$B$7*R71</f>
        <v>4533.1106976533283</v>
      </c>
      <c r="V71" s="5">
        <f>'sv13'!$AA$5+'sv13'!$Z$5*($B71-$R71/3600)+'sv13'!$Y$5*($B71-$R71/3600)^2+'sv13'!$X$5*($B71-$R71/3600)^3+'sv13'!$W$5*($B71-$R71/3600)^4+'sv13'!$V$5*($B71-$R71/3600)^5+'sv13'!$U$5*($B71-$R71/3600)^6+'sv13'!$T$5*($B71-$R71/3600)^7+'sv13'!$S$5*($B71-$R71/3600)^8</f>
        <v>21433.380596440576</v>
      </c>
      <c r="W71">
        <f>coord!$B$6*P71/10^6</f>
        <v>91202.72817839717</v>
      </c>
      <c r="X71">
        <f>SQRT(($T71*1000+coord!$B$7*$R71*$U71*1000-coord!$B$2)^2+($U71*1000-coord!$B$7*$R71*$T71*1000-coord!$C$2)^2+($V71*1000-coord!$D$2)^2)</f>
        <v>20198150.371222965</v>
      </c>
      <c r="Y71" s="3">
        <f>$D71-(X71-$W71)-coord!$E$2</f>
        <v>-2.8060432858765125</v>
      </c>
      <c r="Z71" s="3"/>
      <c r="AB71">
        <f>-(T71*1000-coord!$B$2)/$X71</f>
        <v>-0.51657969629144251</v>
      </c>
      <c r="AC71">
        <f>-(U71*1000-coord!$C$2)/$X71</f>
        <v>-0.17865697690787299</v>
      </c>
      <c r="AD71">
        <f>-(V71*1000-coord!$D$2)/$X71</f>
        <v>-0.83739312814693501</v>
      </c>
      <c r="AE71">
        <v>1</v>
      </c>
      <c r="BD71">
        <f>SQRT(($T71*1000+coord!$B$7*$R71*$U71*1000-coord!$B$2-BA$66)^2+($U71*1000-coord!$B$7*$R71*$T71*1000-coord!$C$2-BA$67)^2+($V71*1000-coord!$D$2-BA$68)^2)</f>
        <v>20198142.489325736</v>
      </c>
      <c r="BE71" s="3">
        <f t="shared" si="34"/>
        <v>0.6202726265661056</v>
      </c>
      <c r="BG71" s="1"/>
      <c r="BH71" s="1"/>
      <c r="BI71" s="1"/>
      <c r="CG71" s="1"/>
      <c r="CH71" s="1"/>
      <c r="CI71" s="1"/>
    </row>
    <row r="72" spans="1:111">
      <c r="A72">
        <v>16</v>
      </c>
      <c r="B72">
        <f t="shared" si="29"/>
        <v>0.3833333333333333</v>
      </c>
      <c r="C72">
        <v>7</v>
      </c>
      <c r="D72">
        <f>tetto!D72*coord!$B$13-tetto!G72*coord!$B$14</f>
        <v>21962167.405225411</v>
      </c>
      <c r="E72" s="5">
        <f>90-DEGREES(ACOS((coord!$B$2*($T72*1000-coord!$B$2)+coord!$C$2*($U72*1000-coord!$C$2)+coord!$D$2*($V72*1000-coord!$D$2))/(SQRT(coord!$B$2^2+coord!$C$2^2+coord!$D$2^2)*SQRT(($T72*1000-coord!$B$2)^2+($U72*1000-coord!$C$2)^2+($V72*1000-coord!$D$2)^2))))</f>
        <v>42.065812176442982</v>
      </c>
      <c r="F72">
        <f>(coord!$C$2*($V72*1000-coord!$D$2)-coord!$D$2*($U72*1000-coord!$C$2))/(SQRT(coord!$B$2^2+coord!$C$2^2+coord!$D$2^2)*SQRT(($T72*1000-coord!$B$2)^2+($U72*1000-coord!$C$2)^2+($V72*1000-coord!$D$2)^2))</f>
        <v>-0.18340150067852393</v>
      </c>
      <c r="G72">
        <f>(-coord!$B$2*($V72*1000-coord!$D$2)+coord!$D$2*($T72*1000-coord!$B$2))/(SQRT(coord!$B$2^2+coord!$C$2^2+coord!$D$2^2)*SQRT(($T72*1000-coord!$B$2)^2+($U72*1000-coord!$C$2)^2+($V72*1000-coord!$D$2)^2))</f>
        <v>0.71869326270522593</v>
      </c>
      <c r="H72">
        <f>(coord!$B$2*($U72*1000-coord!$C$2)-coord!$C$2*($T72*1000-coord!$B$2))/(SQRT(coord!$B$2^2+coord!$C$2^2+coord!$D$2^2)*SQRT(($T72*1000-coord!$B$2)^2+($U72*1000-coord!$C$2)^2+($V72*1000-coord!$D$2)^2))</f>
        <v>3.1074613697397706E-2</v>
      </c>
      <c r="I72">
        <f t="shared" si="31"/>
        <v>4.4117357696296225E-2</v>
      </c>
      <c r="J72">
        <f t="shared" si="32"/>
        <v>0.74106368518881949</v>
      </c>
      <c r="K72">
        <f t="shared" si="33"/>
        <v>1.4549819004345405E-4</v>
      </c>
      <c r="L72">
        <f t="shared" si="30"/>
        <v>176.59306131926078</v>
      </c>
      <c r="M72" s="5">
        <f>'sv07'!$AA$3+'sv07'!$Z$3*($B72)+'sv07'!$Y$3*($B72)^2+'sv07'!$X$3*($B72)^3+'sv07'!$W$3*($B72)^4+'sv07'!$V$3*($B72)^5+'sv07'!$U$3*($B72)^6+'sv07'!$T$3*($B72)^7+'sv07'!$S$3*($B72)^8</f>
        <v>25635.2515245797</v>
      </c>
      <c r="N72" s="5">
        <f>'sv07'!$AA$4+'sv07'!$Z$4*($B72)+'sv07'!$Y$4*($B72)^2+'sv07'!$X$4*($B72)^3+'sv07'!$W$4*($B72)^4+'sv07'!$V$4*($B72)^5+'sv07'!$U$4*($B72)^6+'sv07'!$T$4*($B72)^7+'sv07'!$S$4*($B72)^8</f>
        <v>6390.6536838639304</v>
      </c>
      <c r="O72" s="5">
        <f>'sv07'!$AA$5+'sv07'!$Z$5*($B72)+'sv07'!$Y$5*($B72)^2+'sv07'!$X$5*($B72)^3+'sv07'!$W$5*($B72)^4+'sv07'!$V$5*($B72)^5+'sv07'!$U$5*($B72)^6+'sv07'!$T$5*($B72)^7+'sv07'!$S$5*($B72)^8</f>
        <v>3499.6563519214501</v>
      </c>
      <c r="P72" s="5">
        <f>'sv07'!$AA$6+'sv07'!$Z$6*$B72+'sv07'!$Y$6*$B72^2+'sv07'!$X$6*$B72^3+'sv07'!$W$6*$B72^4+'sv07'!$V$6*$B72^5+'sv07'!$U$6*$B72^6+'sv07'!$T$6*$B72^7+'sv07'!$S$6*$B72^8</f>
        <v>-0.63770615242427109</v>
      </c>
      <c r="R72">
        <f>SQRT(($M72*1000-coord!$B$2)^2+($N72*1000-coord!$C$2)^2+($O72*1000-coord!$D$2)^2)/coord!$B$6</f>
        <v>7.3257138988413115E-2</v>
      </c>
      <c r="T72" s="5">
        <f>'sv07'!$AA$3+'sv07'!$Z$3*($B72-$R72/3600)+'sv07'!$Y$3*($B72-$R72/3600)^2+'sv07'!$X$3*($B72-$R72/3600)^3+'sv07'!$W$3*($B72-$R72/3600)^4+'sv07'!$V$3*($B72-$R72/3600)^5+'sv07'!$U$3*($B72-$R72/3600)^6+'sv07'!$T$3*($B72-$R72/3600)^7+'sv07'!$S$3*($B72-$R72/3600)^8+N72*coord!$B$7*R72</f>
        <v>25635.320330032326</v>
      </c>
      <c r="U72" s="5">
        <f>'sv07'!$AA$4+'sv07'!$Z$4*($B72-$R72/3600)+'sv07'!$Y$4*($B72-$R72/3600)^2+'sv07'!$X$4*($B72-$R72/3600)^3+'sv07'!$W$4*($B72-$R72/3600)^4+'sv07'!$V$4*($B72-$R72/3600)^5+'sv07'!$U$4*($B72-$R72/3600)^6+'sv07'!$T$4*($B72-$R72/3600)^7+'sv07'!$S$4*($B72-$R72/3600)^8-M72*coord!$B$7*R72</f>
        <v>6390.5050364568497</v>
      </c>
      <c r="V72" s="5">
        <f>'sv07'!$AA$5+'sv07'!$Z$5*($B72-$R72/3600)+'sv07'!$Y$5*($B72-$R72/3600)^2+'sv07'!$X$5*($B72-$R72/3600)^3+'sv07'!$W$5*($B72-$R72/3600)^4+'sv07'!$V$5*($B72-$R72/3600)^5+'sv07'!$U$5*($B72-$R72/3600)^6+'sv07'!$T$5*($B72-$R72/3600)^7+'sv07'!$S$5*($B72-$R72/3600)^8</f>
        <v>3499.4257684483141</v>
      </c>
      <c r="W72">
        <f>coord!$B$6*P72/10^6</f>
        <v>-191.17949491699491</v>
      </c>
      <c r="X72">
        <f>SQRT(($T72*1000+coord!$B$7*$R72*$U72*1000-coord!$B$2)^2+($U72*1000-coord!$B$7*$R72*$T72*1000-coord!$C$2)^2+($V72*1000-coord!$D$2)^2)</f>
        <v>21961976.984068222</v>
      </c>
      <c r="Y72" s="3">
        <f>$D72-(X72-$W72)-coord!$E$2</f>
        <v>-0.75833772867918015</v>
      </c>
      <c r="Z72" s="3" t="s">
        <v>127</v>
      </c>
      <c r="AA72" s="1" t="s">
        <v>128</v>
      </c>
      <c r="AB72">
        <f>-(T72*1000-coord!$B$2)/$X72</f>
        <v>-0.9674193800788079</v>
      </c>
      <c r="AC72">
        <f>-(U72*1000-coord!$C$2)/$X72</f>
        <v>-0.24888172987440874</v>
      </c>
      <c r="AD72">
        <f>-(V72*1000-coord!$D$2)/$X72</f>
        <v>4.6451305663043785E-2</v>
      </c>
      <c r="AE72">
        <v>1</v>
      </c>
      <c r="BD72">
        <f>SQRT(($T72*1000+coord!$B$7*$R72*$U72*1000-coord!$B$2-BA$66)^2+($U72*1000-coord!$B$7*$R72*$T72*1000-coord!$C$2-BA$67)^2+($V72*1000-coord!$D$2-BA$68)^2)</f>
        <v>21961975.361705393</v>
      </c>
      <c r="BE72" s="3">
        <f t="shared" si="34"/>
        <v>-3.5915562161930268</v>
      </c>
      <c r="BF72" s="3" t="s">
        <v>127</v>
      </c>
      <c r="BG72" s="1" t="s">
        <v>128</v>
      </c>
      <c r="BH72" s="1"/>
      <c r="BI72" s="1"/>
      <c r="CG72" s="1"/>
      <c r="CH72" s="1"/>
      <c r="CI72" s="1"/>
    </row>
    <row r="73" spans="1:111">
      <c r="Y73" s="3"/>
      <c r="Z73" s="3">
        <f>AVERAGE($Y66:$Y72)</f>
        <v>-3.5306891176317419</v>
      </c>
      <c r="AA73" s="1">
        <f>SQRT(DEVSQ($Y66:$Y72)/6)</f>
        <v>14.830349651335734</v>
      </c>
      <c r="BE73" s="3"/>
      <c r="BF73" s="3">
        <f>AVERAGE($BE66:$BE72)</f>
        <v>6.7939447575326994E-5</v>
      </c>
      <c r="BG73" s="1">
        <f>SQRT(DEVSQ($BE66:$BE72)/6)</f>
        <v>2.7361272052790708</v>
      </c>
      <c r="BH73" s="1"/>
      <c r="BI73" s="1"/>
      <c r="CG73" s="1"/>
      <c r="CH73" s="1"/>
      <c r="CI73" s="1"/>
    </row>
    <row r="74" spans="1:111">
      <c r="A74">
        <v>18</v>
      </c>
      <c r="B74">
        <f t="shared" ref="B74:B80" si="35">(60-45)/60+30*A74/3600</f>
        <v>0.4</v>
      </c>
      <c r="C74">
        <v>2</v>
      </c>
      <c r="D74">
        <f>tetto!D74*coord!$B$13-tetto!G74*coord!$B$14</f>
        <v>22677844.5919751</v>
      </c>
      <c r="E74" s="5">
        <f>90-DEGREES(ACOS((coord!$B$2*($T74*1000-coord!$B$2)+coord!$C$2*($U74*1000-coord!$C$2)+coord!$D$2*($V74*1000-coord!$D$2))/(SQRT(coord!$B$2^2+coord!$C$2^2+coord!$D$2^2)*SQRT(($T74*1000-coord!$B$2)^2+($U74*1000-coord!$C$2)^2+($V74*1000-coord!$D$2)^2))))</f>
        <v>29.655537549388377</v>
      </c>
      <c r="F74">
        <f>(coord!$C$2*($V74*1000-coord!$D$2)-coord!$D$2*($U74*1000-coord!$C$2))/(SQRT(coord!$B$2^2+coord!$C$2^2+coord!$D$2^2)*SQRT(($T74*1000-coord!$B$2)^2+($U74*1000-coord!$C$2)^2+($V74*1000-coord!$D$2)^2))</f>
        <v>0.58775725763845876</v>
      </c>
      <c r="G74">
        <f>(-coord!$B$2*($V74*1000-coord!$D$2)+coord!$D$2*($T74*1000-coord!$B$2))/(SQRT(coord!$B$2^2+coord!$C$2^2+coord!$D$2^2)*SQRT(($T74*1000-coord!$B$2)^2+($U74*1000-coord!$C$2)^2+($V74*1000-coord!$D$2)^2))</f>
        <v>-0.41727657814529356</v>
      </c>
      <c r="H74">
        <f>(coord!$B$2*($U74*1000-coord!$C$2)-coord!$C$2*($T74*1000-coord!$B$2))/(SQRT(coord!$B$2^2+coord!$C$2^2+coord!$D$2^2)*SQRT(($T74*1000-coord!$B$2)^2+($U74*1000-coord!$C$2)^2+($V74*1000-coord!$D$2)^2))</f>
        <v>-0.48539675957525596</v>
      </c>
      <c r="I74">
        <f t="shared" ref="I74:I80" si="36">$F74*$CA$2+$G74*$CB$2+$H74*$CC$2</f>
        <v>-0.68908875742065046</v>
      </c>
      <c r="J74">
        <f t="shared" ref="J74:J80" si="37">$F74*$CA$3+$G74*$CB$3+$H74*$CC$3</f>
        <v>-0.52947113918802824</v>
      </c>
      <c r="K74">
        <f t="shared" ref="K74:K80" si="38">$F74*$CA$4+$G74*$CB$4+$H74*$CC$4</f>
        <v>-2.3125624059588956E-3</v>
      </c>
      <c r="L74">
        <f t="shared" ref="L74:L80" si="39">90+DEGREES(ATAN2(I74,J74))</f>
        <v>-52.462613880076191</v>
      </c>
      <c r="M74" s="5">
        <f>'sv02'!$AA$3+'sv02'!$Z$3*($B74)+'sv02'!$Y$3*($B74)^2+'sv02'!$X$3*($B74)^3+'sv02'!$W$3*($B74)^4+'sv02'!$V$3*($B74)^5+'sv02'!$U$3*($B74)^6+'sv02'!$T$3*($B74)^7+'sv02'!$S$3*($B74)^8</f>
        <v>7013.7229951315603</v>
      </c>
      <c r="N74" s="5">
        <f>'sv02'!$AA$4+'sv02'!$Z$4*($B74)+'sv02'!$Y$4*($B74)^2+'sv02'!$X$4*($B74)^3+'sv02'!$W$4*($B74)^4+'sv02'!$V$4*($B74)^5+'sv02'!$U$4*($B74)^6+'sv02'!$T$4*($B74)^7+'sv02'!$S$4*($B74)^8</f>
        <v>-14546.928485119051</v>
      </c>
      <c r="O74" s="5">
        <f>'sv02'!$AA$5+'sv02'!$Z$5*($B74)+'sv02'!$Y$5*($B74)^2+'sv02'!$X$5*($B74)^3+'sv02'!$W$5*($B74)^4+'sv02'!$V$5*($B74)^5+'sv02'!$U$5*($B74)^6+'sv02'!$T$5*($B74)^7+'sv02'!$S$5*($B74)^8</f>
        <v>20997.874833604405</v>
      </c>
      <c r="P74" s="5">
        <f>'sv02'!$AA$6+'sv02'!$Z$6*$B74+'sv02'!$Y$6*$B74^2+'sv02'!$X$6*$B74^3+'sv02'!$W$6*$B74^4+'sv02'!$V$6*$B74^5+'sv02'!$U$6*$B74^6+'sv02'!$T$6*$B74^7+'sv02'!$S$6*$B74^8</f>
        <v>257.59154093921671</v>
      </c>
      <c r="R74">
        <f>SQRT(($M74*1000-coord!$B$2)^2+($N74*1000-coord!$C$2)^2+($O74*1000-coord!$D$2)^2)/coord!$B$6</f>
        <v>7.5902582076216946E-2</v>
      </c>
      <c r="T74" s="5">
        <f>'sv02'!$AA$3+'sv02'!$Z$3*($B74-$R74/3600)+'sv02'!$Y$3*($B74-$R74/3600)^2+'sv02'!$X$3*($B74-$R74/3600)^3+'sv02'!$W$3*($B74-$R74/3600)^4+'sv02'!$V$3*($B74-$R74/3600)^5+'sv02'!$U$3*($B74-$R74/3600)^6+'sv02'!$T$3*($B74-$R74/3600)^7+'sv02'!$S$3*($B74-$R74/3600)^8+N74*coord!$B$7*R74</f>
        <v>7013.4411256071007</v>
      </c>
      <c r="U74" s="5">
        <f>'sv02'!$AA$4+'sv02'!$Z$4*($B74-$R74/3600)+'sv02'!$Y$4*($B74-$R74/3600)^2+'sv02'!$X$4*($B74-$R74/3600)^3+'sv02'!$W$4*($B74-$R74/3600)^4+'sv02'!$V$4*($B74-$R74/3600)^5+'sv02'!$U$4*($B74-$R74/3600)^6+'sv02'!$T$4*($B74-$R74/3600)^7+'sv02'!$S$4*($B74-$R74/3600)^8-M74*coord!$B$7*R74</f>
        <v>-14547.000538645354</v>
      </c>
      <c r="V74" s="5">
        <f>'sv02'!$AA$5+'sv02'!$Z$5*($B74-$R74/3600)+'sv02'!$Y$5*($B74-$R74/3600)^2+'sv02'!$X$5*($B74-$R74/3600)^3+'sv02'!$W$5*($B74-$R74/3600)^4+'sv02'!$V$5*($B74-$R74/3600)^5+'sv02'!$U$5*($B74-$R74/3600)^6+'sv02'!$T$5*($B74-$R74/3600)^7+'sv02'!$S$5*($B74-$R74/3600)^8</f>
        <v>20997.922480071833</v>
      </c>
      <c r="W74">
        <f>coord!$B$6*P74/10^6</f>
        <v>77224.001218175399</v>
      </c>
      <c r="X74">
        <f>SQRT(($T74*1000+coord!$B$7*$R74*$U74*1000-coord!$B$2)^2+($U74*1000-coord!$B$7*$R74*$T74*1000-coord!$C$2)^2+($V74*1000-coord!$D$2)^2)</f>
        <v>22755089.737715062</v>
      </c>
      <c r="Y74" s="3">
        <f>$D74-(X74-$W74)-coord!$E$2</f>
        <v>-21.144521787762642</v>
      </c>
      <c r="Z74" s="3"/>
      <c r="AB74">
        <f>-(T74*1000-coord!$B$2)/$X74</f>
        <v>-0.115339600285428</v>
      </c>
      <c r="AC74">
        <f>-(U74*1000-coord!$C$2)/$X74</f>
        <v>0.67991692980240126</v>
      </c>
      <c r="AD74">
        <f>-(V74*1000-coord!$D$2)/$X74</f>
        <v>-0.72416037008459166</v>
      </c>
      <c r="AE74">
        <v>1</v>
      </c>
      <c r="AG74">
        <f t="array" ref="AG74:AM77">TRANSPOSE(AB74:AE80)</f>
        <v>-0.115339600285428</v>
      </c>
      <c r="AH74">
        <v>-0.21157226151779046</v>
      </c>
      <c r="AI74">
        <v>-0.14520748579030895</v>
      </c>
      <c r="AJ74">
        <v>-0.80883700597631469</v>
      </c>
      <c r="AK74">
        <v>-0.42671399896595147</v>
      </c>
      <c r="AL74">
        <v>-0.51099850761811283</v>
      </c>
      <c r="AM74">
        <v>-0.96758090653737716</v>
      </c>
      <c r="AO74">
        <f t="array" ref="AO74:AR77">MMULT(AG74:AM77,AB74:AE80)</f>
        <v>2.1127856838011714</v>
      </c>
      <c r="AP74">
        <v>0.33826769510280125</v>
      </c>
      <c r="AQ74">
        <v>1.1243933642611732</v>
      </c>
      <c r="AR74">
        <v>-3.1862497666912835</v>
      </c>
      <c r="AT74">
        <f t="array" ref="AT74:AW77">MINVERSE(AO74:AR77)</f>
        <v>2.5230245631326742</v>
      </c>
      <c r="AU74">
        <v>-1.2349369103114415E-2</v>
      </c>
      <c r="AV74">
        <v>1.4924271196584482</v>
      </c>
      <c r="AW74">
        <v>1.8845063550889196</v>
      </c>
      <c r="AY74">
        <f t="array" ref="AY74:AY77">MMULT(AG74:AM77,Y74:Y80)</f>
        <v>6.2384064994903508</v>
      </c>
      <c r="BA74">
        <f t="array" ref="BA74:BA77">MMULT(AT74:AW77,AY74:AY77)</f>
        <v>8.60342956554598</v>
      </c>
      <c r="BD74">
        <f>SQRT(($T74*1000+coord!$B$7*$R74*$U74*1000-coord!$B$2-BA$74)^2+($U74*1000-coord!$B$7*$R74*$T74*1000-coord!$C$2-BA$75)^2+($V74*1000-coord!$D$2-BA$76)^2)</f>
        <v>22755067.225429665</v>
      </c>
      <c r="BE74" s="3">
        <f>$D74-(BD74-$W74)-BA$77</f>
        <v>-3.3983464644961074</v>
      </c>
      <c r="BG74" s="1">
        <f>coord!$B$2+$BA74</f>
        <v>4388886.7742295656</v>
      </c>
      <c r="BH74" s="1">
        <f>coord!$C$2+$BA75</f>
        <v>924548.57239743683</v>
      </c>
      <c r="BI74" s="1">
        <f>coord!$D$2+$BA76</f>
        <v>4519597.6727948058</v>
      </c>
      <c r="BJ74" s="1">
        <f>coord!$E$2+$BA77</f>
        <v>4.766110073190184</v>
      </c>
      <c r="BK74" s="8">
        <f>lat($BG74,$BH74,$BI74)</f>
        <v>45.411205280177519</v>
      </c>
      <c r="BL74" s="8">
        <f>lon($BG74,$BH74,$BI74)</f>
        <v>11.895813365952284</v>
      </c>
      <c r="BM74" s="6">
        <f>h($BG74,$BH74,$BI74)</f>
        <v>71.592823966406286</v>
      </c>
      <c r="BO74">
        <f>grado($BK74)</f>
        <v>45</v>
      </c>
      <c r="BP74">
        <f>MINUTOprimo($BK74)</f>
        <v>24</v>
      </c>
      <c r="BQ74">
        <f>MINUTOsecondo($BK74)</f>
        <v>40.33900863906922</v>
      </c>
      <c r="BR74">
        <f>grado($BL74)</f>
        <v>11</v>
      </c>
      <c r="BS74">
        <f>MINUTOprimo($BL74)</f>
        <v>53</v>
      </c>
      <c r="BT74">
        <f>MINUTOsecondo($BL74)</f>
        <v>44.928117428222407</v>
      </c>
      <c r="BV74">
        <f>-SIN(RADIANS(BK74))*COS(RADIANS(BL74))</f>
        <v>-0.69686896719163038</v>
      </c>
      <c r="BW74">
        <f>-SIN(RADIANS(BL74))</f>
        <v>-0.2061326846577419</v>
      </c>
      <c r="BX74">
        <f>COS(RADIANS(BK74))*COS(RADIANS(BL74))</f>
        <v>0.68693737624405216</v>
      </c>
      <c r="BZ74" t="s">
        <v>93</v>
      </c>
      <c r="CA74">
        <f t="array" ref="CA74:CC76">MINVERSE(BV74:BX76)</f>
        <v>-0.69686896719163027</v>
      </c>
      <c r="CB74">
        <v>-0.14680014361458529</v>
      </c>
      <c r="CC74">
        <v>0.70201378932326375</v>
      </c>
      <c r="CD74">
        <v>0</v>
      </c>
      <c r="CE74" s="1">
        <f t="array" ref="CE74:CE76">MMULT(CA74:CC76,BA74:BA76)</f>
        <v>3.7792828011581099</v>
      </c>
      <c r="CG74" s="1">
        <f t="array" ref="CG74:CI74">TRANSPOSE(CE74:CE76)</f>
        <v>3.7792828011581099</v>
      </c>
      <c r="CH74" s="1">
        <v>-22.949493801719861</v>
      </c>
      <c r="CI74" s="1">
        <v>9.4716839176877397</v>
      </c>
      <c r="CK74">
        <f t="array" ref="CK74:CN77">MMULT(CA74:CD77,AT74:AW77)</f>
        <v>-0.70870021479126311</v>
      </c>
      <c r="CL74">
        <v>0.16299807518641721</v>
      </c>
      <c r="CM74">
        <v>0.62325067611198004</v>
      </c>
      <c r="CN74">
        <v>-1.3980948229718626E-2</v>
      </c>
      <c r="CP74">
        <f t="array" ref="CP74:CS77">TRANSPOSE(CA74:CD77)</f>
        <v>-0.69686896719163027</v>
      </c>
      <c r="CQ74">
        <v>-0.20613268465774187</v>
      </c>
      <c r="CR74">
        <v>0.68693737624405204</v>
      </c>
      <c r="CS74">
        <v>0</v>
      </c>
      <c r="CU74" s="5">
        <f t="array" ref="CU74:CX77">MMULT(CK74:CN77,CP74:CS77)</f>
        <v>0.90747361471946419</v>
      </c>
      <c r="CV74" s="5">
        <v>0.30558381455667971</v>
      </c>
      <c r="CW74" s="5">
        <v>-1.9389252246482302E-2</v>
      </c>
      <c r="CX74" s="5">
        <v>-1.3980948229718626E-2</v>
      </c>
      <c r="CZ74" s="3">
        <f>SQRT(CU74+CV75)</f>
        <v>1.216413295088375</v>
      </c>
      <c r="DA74" s="3">
        <f>CW76</f>
        <v>3.9600681380218612</v>
      </c>
      <c r="DB74" s="3">
        <f>CX77</f>
        <v>1.9307779684852933</v>
      </c>
      <c r="DC74" s="3">
        <f>BG81</f>
        <v>3.2085891922107019</v>
      </c>
      <c r="DD74">
        <v>6</v>
      </c>
      <c r="DE74" s="6">
        <f>DB74*DD74*DC74</f>
        <v>37.170439933442687</v>
      </c>
      <c r="DF74">
        <v>5.33</v>
      </c>
      <c r="DG74" s="6">
        <f>DC74*DF74*SQRT(0.5*(CU74+CV75)+SQRT((0.5*(CU74-CV75))^2+CV74^2))</f>
        <v>17.841497789332198</v>
      </c>
    </row>
    <row r="75" spans="1:111">
      <c r="A75">
        <v>18</v>
      </c>
      <c r="B75">
        <f t="shared" si="35"/>
        <v>0.4</v>
      </c>
      <c r="C75">
        <v>23</v>
      </c>
      <c r="D75">
        <f>tetto!D75*coord!$B$13-tetto!G75*coord!$B$14</f>
        <v>21038387.208936453</v>
      </c>
      <c r="E75" s="5">
        <f>90-DEGREES(ACOS((coord!$B$2*($T75*1000-coord!$B$2)+coord!$C$2*($U75*1000-coord!$C$2)+coord!$D$2*($V75*1000-coord!$D$2))/(SQRT(coord!$B$2^2+coord!$C$2^2+coord!$D$2^2)*SQRT(($T75*1000-coord!$B$2)^2+($U75*1000-coord!$C$2)^2+($V75*1000-coord!$D$2)^2))))</f>
        <v>52.912646593120314</v>
      </c>
      <c r="F75">
        <f>(coord!$C$2*($V75*1000-coord!$D$2)-coord!$D$2*($U75*1000-coord!$C$2))/(SQRT(coord!$B$2^2+coord!$C$2^2+coord!$D$2^2)*SQRT(($T75*1000-coord!$B$2)^2+($U75*1000-coord!$C$2)^2+($V75*1000-coord!$D$2)^2))</f>
        <v>-0.27649729166222436</v>
      </c>
      <c r="G75">
        <f>(-coord!$B$2*($V75*1000-coord!$D$2)+coord!$D$2*($T75*1000-coord!$B$2))/(SQRT(coord!$B$2^2+coord!$C$2^2+coord!$D$2^2)*SQRT(($T75*1000-coord!$B$2)^2+($U75*1000-coord!$C$2)^2+($V75*1000-coord!$D$2)^2))</f>
        <v>-0.40471043615497915</v>
      </c>
      <c r="H75">
        <f>(coord!$B$2*($U75*1000-coord!$C$2)-coord!$C$2*($T75*1000-coord!$B$2))/(SQRT(coord!$B$2^2+coord!$C$2^2+coord!$D$2^2)*SQRT(($T75*1000-coord!$B$2)^2+($U75*1000-coord!$C$2)^2+($V75*1000-coord!$D$2)^2))</f>
        <v>0.35129220750702922</v>
      </c>
      <c r="I75">
        <f t="shared" si="36"/>
        <v>0.49870590140396398</v>
      </c>
      <c r="J75">
        <f t="shared" si="37"/>
        <v>-0.33902377284774005</v>
      </c>
      <c r="K75">
        <f t="shared" si="38"/>
        <v>1.6762557692660551E-3</v>
      </c>
      <c r="L75">
        <f t="shared" si="39"/>
        <v>55.791859351144531</v>
      </c>
      <c r="M75" s="5">
        <f>'sv23'!$AA$3+'sv23'!$Z$3*($B75)+'sv23'!$Y$3*($B75)^2+'sv23'!$X$3*($B75)^3+'sv23'!$W$3*($B75)^4+'sv23'!$V$3*($B75)^5+'sv23'!$U$3*($B75)^6+'sv23'!$T$3*($B75)^7+'sv23'!$S$3*($B75)^8</f>
        <v>8863.2983711578254</v>
      </c>
      <c r="N75" s="5">
        <f>'sv23'!$AA$4+'sv23'!$Z$4*($B75)+'sv23'!$Y$4*($B75)^2+'sv23'!$X$4*($B75)^3+'sv23'!$W$4*($B75)^4+'sv23'!$V$4*($B75)^5+'sv23'!$U$4*($B75)^6+'sv23'!$T$4*($B75)^7+'sv23'!$S$4*($B75)^8</f>
        <v>12646.275765167702</v>
      </c>
      <c r="O75" s="5">
        <f>'sv23'!$AA$5+'sv23'!$Z$5*($B75)+'sv23'!$Y$5*($B75)^2+'sv23'!$X$5*($B75)^3+'sv23'!$W$5*($B75)^4+'sv23'!$V$5*($B75)^5+'sv23'!$U$5*($B75)^6+'sv23'!$T$5*($B75)^7+'sv23'!$S$5*($B75)^8</f>
        <v>21545.363816326448</v>
      </c>
      <c r="P75" s="5">
        <f>'sv23'!$AA$6+'sv23'!$Z$6*$B75+'sv23'!$Y$6*$B75^2+'sv23'!$X$6*$B75^3+'sv23'!$W$6*$B75^4+'sv23'!$V$6*$B75^5+'sv23'!$U$6*$B75^6+'sv23'!$T$6*$B75^7+'sv23'!$S$6*$B75^8</f>
        <v>370.05685493079767</v>
      </c>
      <c r="R75">
        <f>SQRT(($M75*1000-coord!$B$2)^2+($N75*1000-coord!$C$2)^2+($O75*1000-coord!$D$2)^2)/coord!$B$6</f>
        <v>7.0546704569178845E-2</v>
      </c>
      <c r="T75" s="5">
        <f>'sv23'!$AA$3+'sv23'!$Z$3*($B75-$R75/3600)+'sv23'!$Y$3*($B75-$R75/3600)^2+'sv23'!$X$3*($B75-$R75/3600)^3+'sv23'!$W$3*($B75-$R75/3600)^4+'sv23'!$V$3*($B75-$R75/3600)^5+'sv23'!$U$3*($B75-$R75/3600)^6+'sv23'!$T$3*($B75-$R75/3600)^7+'sv23'!$S$3*($B75-$R75/3600)^8+N75*coord!$B$7*R75</f>
        <v>8863.4879846253316</v>
      </c>
      <c r="U75" s="5">
        <f>'sv23'!$AA$4+'sv23'!$Z$4*($B75-$R75/3600)+'sv23'!$Y$4*($B75-$R75/3600)^2+'sv23'!$X$4*($B75-$R75/3600)^3+'sv23'!$W$4*($B75-$R75/3600)^4+'sv23'!$V$4*($B75-$R75/3600)^5+'sv23'!$U$4*($B75-$R75/3600)^6+'sv23'!$T$4*($B75-$R75/3600)^7+'sv23'!$S$4*($B75-$R75/3600)^8-M75*coord!$B$7*R75</f>
        <v>12646.081894767774</v>
      </c>
      <c r="V75" s="5">
        <f>'sv23'!$AA$5+'sv23'!$Z$5*($B75-$R75/3600)+'sv23'!$Y$5*($B75-$R75/3600)^2+'sv23'!$X$5*($B75-$R75/3600)^3+'sv23'!$W$5*($B75-$R75/3600)^4+'sv23'!$V$5*($B75-$R75/3600)^5+'sv23'!$U$5*($B75-$R75/3600)^6+'sv23'!$T$5*($B75-$R75/3600)^7+'sv23'!$S$5*($B75-$R75/3600)^8</f>
        <v>21545.401748090804</v>
      </c>
      <c r="W75">
        <f>coord!$B$6*P75/10^6</f>
        <v>110940.25413945325</v>
      </c>
      <c r="X75">
        <f>SQRT(($T75*1000+coord!$B$7*$R75*$U75*1000-coord!$B$2)^2+($U75*1000-coord!$B$7*$R75*$T75*1000-coord!$C$2)^2+($V75*1000-coord!$D$2)^2)</f>
        <v>21149321.663081411</v>
      </c>
      <c r="Y75" s="3">
        <f>$D75-(X75-$W75)-coord!$E$2</f>
        <v>5.7999944947659969</v>
      </c>
      <c r="Z75" s="3"/>
      <c r="AB75">
        <f>-(T75*1000-coord!$B$2)/$X75</f>
        <v>-0.21157226151779046</v>
      </c>
      <c r="AC75">
        <f>-(U75*1000-coord!$C$2)/$X75</f>
        <v>-0.55422636566301942</v>
      </c>
      <c r="AD75">
        <f>-(V75*1000-coord!$D$2)/$X75</f>
        <v>-0.80502882054658664</v>
      </c>
      <c r="AE75">
        <v>1</v>
      </c>
      <c r="AG75">
        <v>0.67991692980240126</v>
      </c>
      <c r="AH75">
        <v>-0.55422636566301942</v>
      </c>
      <c r="AI75">
        <v>0.77916645122780048</v>
      </c>
      <c r="AJ75">
        <v>0.38122479394497538</v>
      </c>
      <c r="AK75">
        <v>-0.90207516541545918</v>
      </c>
      <c r="AL75">
        <v>-0.18471184180966149</v>
      </c>
      <c r="AM75">
        <v>-0.24969907987220771</v>
      </c>
      <c r="AO75">
        <v>0.33826769510280125</v>
      </c>
      <c r="AP75">
        <v>2.4320942971183479</v>
      </c>
      <c r="AQ75">
        <v>-0.48808794887540896</v>
      </c>
      <c r="AR75">
        <v>-5.040427778517062E-2</v>
      </c>
      <c r="AT75">
        <v>-1.234936910311437E-2</v>
      </c>
      <c r="AU75">
        <v>0.48041388713709332</v>
      </c>
      <c r="AV75">
        <v>0.32038830880664965</v>
      </c>
      <c r="AW75">
        <v>0.15587585808660906</v>
      </c>
      <c r="AY75">
        <v>-54.549734598206776</v>
      </c>
      <c r="BA75">
        <v>-21.640802563161646</v>
      </c>
      <c r="BD75">
        <f>SQRT(($T75*1000+coord!$B$7*$R75*$U75*1000-coord!$B$2-BA$74)^2+($U75*1000-coord!$B$7*$R75*$T75*1000-coord!$C$2-BA$75)^2+($V75*1000-coord!$D$2-BA$76)^2)</f>
        <v>21149324.270620156</v>
      </c>
      <c r="BE75" s="3">
        <f t="shared" ref="BE75:BE80" si="40">$D75-(BD75-$W75)-BA$77</f>
        <v>-1.5736543232314304</v>
      </c>
      <c r="BG75" s="1"/>
      <c r="BH75" s="1"/>
      <c r="BI75" s="1"/>
      <c r="BV75">
        <f>-SIN(RADIANS(BK74))*SIN(RADIANS(BL74))</f>
        <v>-0.14680014361458529</v>
      </c>
      <c r="BW75">
        <f>COS(RADIANS(BL74))</f>
        <v>0.97852404994245901</v>
      </c>
      <c r="BX75">
        <f>COS(RADIANS(BK74))*SIN(RADIANS(BL74))</f>
        <v>0.14470798705995877</v>
      </c>
      <c r="BZ75" t="s">
        <v>94</v>
      </c>
      <c r="CA75">
        <v>-0.20613268465774187</v>
      </c>
      <c r="CB75">
        <v>0.9785240499424589</v>
      </c>
      <c r="CC75">
        <v>0</v>
      </c>
      <c r="CD75">
        <v>0</v>
      </c>
      <c r="CE75" s="1">
        <v>-22.949493801719861</v>
      </c>
      <c r="CG75" s="1"/>
      <c r="CH75" s="1"/>
      <c r="CI75" s="1"/>
      <c r="CK75">
        <v>-0.53216198132497816</v>
      </c>
      <c r="CL75">
        <v>0.47264215109704222</v>
      </c>
      <c r="CM75">
        <v>5.8696566564810926E-3</v>
      </c>
      <c r="CN75">
        <v>-0.2359300782858901</v>
      </c>
      <c r="CP75">
        <v>-0.14680014361458529</v>
      </c>
      <c r="CQ75">
        <v>0.9785240499424589</v>
      </c>
      <c r="CR75">
        <v>0.14470798705995874</v>
      </c>
      <c r="CS75">
        <v>0</v>
      </c>
      <c r="CU75" s="5">
        <v>0.30558381455667971</v>
      </c>
      <c r="CV75" s="5">
        <v>0.57218768974829415</v>
      </c>
      <c r="CW75" s="5">
        <v>-0.29298670654507386</v>
      </c>
      <c r="CX75" s="5">
        <v>-0.2359300782858901</v>
      </c>
    </row>
    <row r="76" spans="1:111">
      <c r="A76">
        <v>18</v>
      </c>
      <c r="B76">
        <f t="shared" si="35"/>
        <v>0.4</v>
      </c>
      <c r="C76">
        <v>10</v>
      </c>
      <c r="D76">
        <f>tetto!D76*coord!$B$13-tetto!G76*coord!$B$14</f>
        <v>23029921.785151139</v>
      </c>
      <c r="E76" s="5">
        <f>90-DEGREES(ACOS((coord!$B$2*($T76*1000-coord!$B$2)+coord!$C$2*($U76*1000-coord!$C$2)+coord!$D$2*($V76*1000-coord!$D$2))/(SQRT(coord!$B$2^2+coord!$C$2^2+coord!$D$2^2)*SQRT(($T76*1000-coord!$B$2)^2+($U76*1000-coord!$C$2)^2+($V76*1000-coord!$D$2)^2))))</f>
        <v>24.819549478753146</v>
      </c>
      <c r="F76">
        <f>(coord!$C$2*($V76*1000-coord!$D$2)-coord!$D$2*($U76*1000-coord!$C$2))/(SQRT(coord!$B$2^2+coord!$C$2^2+coord!$D$2^2)*SQRT(($T76*1000-coord!$B$2)^2+($U76*1000-coord!$C$2)^2+($V76*1000-coord!$D$2)^2))</f>
        <v>0.64159410446724074</v>
      </c>
      <c r="G76">
        <f>(-coord!$B$2*($V76*1000-coord!$D$2)+coord!$D$2*($T76*1000-coord!$B$2))/(SQRT(coord!$B$2^2+coord!$C$2^2+coord!$D$2^2)*SQRT(($T76*1000-coord!$B$2)^2+($U76*1000-coord!$C$2)^2+($V76*1000-coord!$D$2)^2))</f>
        <v>-0.31722621492734432</v>
      </c>
      <c r="H76">
        <f>(coord!$B$2*($U76*1000-coord!$C$2)-coord!$C$2*($T76*1000-coord!$B$2))/(SQRT(coord!$B$2^2+coord!$C$2^2+coord!$D$2^2)*SQRT(($T76*1000-coord!$B$2)^2+($U76*1000-coord!$C$2)^2+($V76*1000-coord!$D$2)^2))</f>
        <v>-0.55814386119783133</v>
      </c>
      <c r="I76">
        <f t="shared" si="36"/>
        <v>-0.79236286025388025</v>
      </c>
      <c r="J76">
        <f t="shared" si="37"/>
        <v>-0.44266698492800383</v>
      </c>
      <c r="K76">
        <f t="shared" si="38"/>
        <v>-2.6597485059234871E-3</v>
      </c>
      <c r="L76">
        <f t="shared" si="39"/>
        <v>-60.809348500489733</v>
      </c>
      <c r="M76" s="5">
        <f>'sv10'!$AA$3+'sv10'!$Z$3*($B76)+'sv10'!$Y$3*($B76)^2+'sv10'!$X$3*($B76)^3+'sv10'!$W$3*($B76)^4+'sv10'!$V$3*($B76)^5+'sv10'!$U$3*($B76)^6+'sv10'!$T$3*($B76)^7+'sv10'!$S$3*($B76)^8</f>
        <v>7731.2981420010283</v>
      </c>
      <c r="N76" s="5">
        <f>'sv10'!$AA$4+'sv10'!$Z$4*($B76)+'sv10'!$Y$4*($B76)^2+'sv10'!$X$4*($B76)^3+'sv10'!$W$4*($B76)^4+'sv10'!$V$4*($B76)^5+'sv10'!$U$4*($B76)^6+'sv10'!$T$4*($B76)^7+'sv10'!$S$4*($B76)^8</f>
        <v>-17009.328972441373</v>
      </c>
      <c r="O76" s="5">
        <f>'sv10'!$AA$5+'sv10'!$Z$5*($B76)+'sv10'!$Y$5*($B76)^2+'sv10'!$X$5*($B76)^3+'sv10'!$W$5*($B76)^4+'sv10'!$V$5*($B76)^5+'sv10'!$U$5*($B76)^6+'sv10'!$T$5*($B76)^7+'sv10'!$S$5*($B76)^8</f>
        <v>18554.689668310573</v>
      </c>
      <c r="P76" s="5">
        <f>'sv10'!$AA$6+'sv10'!$Z$6*$B76+'sv10'!$Y$6*$B76^2+'sv10'!$X$6*$B76^3+'sv10'!$W$6*$B76^4+'sv10'!$V$6*$B76^5+'sv10'!$U$6*$B76^6+'sv10'!$T$6*$B76^7+'sv10'!$S$6*$B76^8</f>
        <v>-43.001203647564751</v>
      </c>
      <c r="R76">
        <f>SQRT(($M76*1000-coord!$B$2)^2+($N76*1000-coord!$C$2)^2+($O76*1000-coord!$D$2)^2)/coord!$B$6</f>
        <v>7.677632413112831E-2</v>
      </c>
      <c r="T76" s="5">
        <f>'sv10'!$AA$3+'sv10'!$Z$3*($B76-$R76/3600)+'sv10'!$Y$3*($B76-$R76/3600)^2+'sv10'!$X$3*($B76-$R76/3600)^3+'sv10'!$W$3*($B76-$R76/3600)^4+'sv10'!$V$3*($B76-$R76/3600)^5+'sv10'!$U$3*($B76-$R76/3600)^6+'sv10'!$T$3*($B76-$R76/3600)^7+'sv10'!$S$3*($B76-$R76/3600)^8+N76*coord!$B$7*R76</f>
        <v>7731.1257539389308</v>
      </c>
      <c r="U76" s="5">
        <f>'sv10'!$AA$4+'sv10'!$Z$4*($B76-$R76/3600)+'sv10'!$Y$4*($B76-$R76/3600)^2+'sv10'!$X$4*($B76-$R76/3600)^3+'sv10'!$W$4*($B76-$R76/3600)^4+'sv10'!$V$4*($B76-$R76/3600)^5+'sv10'!$U$4*($B76-$R76/3600)^6+'sv10'!$T$4*($B76-$R76/3600)^7+'sv10'!$S$4*($B76-$R76/3600)^8-M76*coord!$B$7*R76</f>
        <v>-17009.540926494796</v>
      </c>
      <c r="V76" s="5">
        <f>'sv10'!$AA$5+'sv10'!$Z$5*($B76-$R76/3600)+'sv10'!$Y$5*($B76-$R76/3600)^2+'sv10'!$X$5*($B76-$R76/3600)^3+'sv10'!$W$5*($B76-$R76/3600)^4+'sv10'!$V$5*($B76-$R76/3600)^5+'sv10'!$U$5*($B76-$R76/3600)^6+'sv10'!$T$5*($B76-$R76/3600)^7+'sv10'!$S$5*($B76-$R76/3600)^8</f>
        <v>18554.565785531584</v>
      </c>
      <c r="W76">
        <f>coord!$B$6*P76/10^6</f>
        <v>-12891.436538462001</v>
      </c>
      <c r="X76">
        <f>SQRT(($T76*1000+coord!$B$7*$R76*$U76*1000-coord!$B$2)^2+($U76*1000-coord!$B$7*$R76*$T76*1000-coord!$C$2)^2+($V76*1000-coord!$D$2)^2)</f>
        <v>23017047.399094831</v>
      </c>
      <c r="Y76" s="3">
        <f>$D76-(X76-$W76)-coord!$E$2</f>
        <v>-17.050482153892517</v>
      </c>
      <c r="Z76" s="3"/>
      <c r="AB76">
        <f>-(T76*1000-coord!$B$2)/$X76</f>
        <v>-0.14520748579030895</v>
      </c>
      <c r="AC76">
        <f>-(U76*1000-coord!$C$2)/$X76</f>
        <v>0.77916645122780048</v>
      </c>
      <c r="AD76">
        <f>-(V76*1000-coord!$D$2)/$X76</f>
        <v>-0.60976446143928631</v>
      </c>
      <c r="AE76">
        <v>1</v>
      </c>
      <c r="AG76">
        <v>-0.72416037008459166</v>
      </c>
      <c r="AH76">
        <v>-0.80502882054658664</v>
      </c>
      <c r="AI76">
        <v>-0.60976446143928631</v>
      </c>
      <c r="AJ76">
        <v>-0.44771550840338392</v>
      </c>
      <c r="AK76">
        <v>-6.4631981848532014E-2</v>
      </c>
      <c r="AL76">
        <v>-0.83950117643253908</v>
      </c>
      <c r="AM76">
        <v>3.7916443701497611E-2</v>
      </c>
      <c r="AO76">
        <v>1.1243933642611732</v>
      </c>
      <c r="AP76">
        <v>-0.48808794887540896</v>
      </c>
      <c r="AQ76">
        <v>2.4551186934231799</v>
      </c>
      <c r="AR76">
        <v>-3.4528858750534219</v>
      </c>
      <c r="AT76">
        <v>1.492427119658448</v>
      </c>
      <c r="AU76">
        <v>0.32038830880664965</v>
      </c>
      <c r="AV76">
        <v>2.4362909922198526</v>
      </c>
      <c r="AW76">
        <v>1.8833756082410715</v>
      </c>
      <c r="AY76">
        <v>26.853840185706837</v>
      </c>
      <c r="BA76">
        <v>9.3984948058632298</v>
      </c>
      <c r="BD76">
        <f>SQRT(($T76*1000+coord!$B$7*$R76*$U76*1000-coord!$B$2-BA$74)^2+($U76*1000-coord!$B$7*$R76*$T76*1000-coord!$C$2-BA$75)^2+($V76*1000-coord!$D$2-BA$76)^2)</f>
        <v>23017023.557153247</v>
      </c>
      <c r="BE76" s="3">
        <f t="shared" si="40"/>
        <v>2.0253493568189427</v>
      </c>
      <c r="BG76" s="1"/>
      <c r="BH76" s="1"/>
      <c r="BI76" s="1"/>
      <c r="BV76">
        <f>COS(RADIANS(BK74))</f>
        <v>0.70201378932326364</v>
      </c>
      <c r="BW76">
        <v>0</v>
      </c>
      <c r="BX76">
        <f>SIN(RADIANS(BK74))</f>
        <v>0.71216335176698919</v>
      </c>
      <c r="BZ76" t="s">
        <v>95</v>
      </c>
      <c r="CA76">
        <v>0.68693737624405204</v>
      </c>
      <c r="CB76">
        <v>0.14470798705995874</v>
      </c>
      <c r="CC76">
        <v>0.71216335176698919</v>
      </c>
      <c r="CD76">
        <v>0</v>
      </c>
      <c r="CE76" s="1">
        <v>9.4716839176877397</v>
      </c>
      <c r="CG76" s="1"/>
      <c r="CH76" s="1"/>
      <c r="CI76" s="1"/>
      <c r="CK76">
        <v>2.7942247210571964</v>
      </c>
      <c r="CL76">
        <v>0.28920529521999699</v>
      </c>
      <c r="CM76">
        <v>2.8066038759576113</v>
      </c>
      <c r="CN76">
        <v>2.6583654185361345</v>
      </c>
      <c r="CP76">
        <v>0.70201378932326375</v>
      </c>
      <c r="CQ76">
        <v>0</v>
      </c>
      <c r="CR76">
        <v>0.71216335176698919</v>
      </c>
      <c r="CS76">
        <v>0</v>
      </c>
      <c r="CU76" s="5">
        <v>-1.9389252246481803E-2</v>
      </c>
      <c r="CV76" s="5">
        <v>-0.29298670654507392</v>
      </c>
      <c r="CW76" s="5">
        <v>3.9600681380218612</v>
      </c>
      <c r="CX76" s="5">
        <v>2.6583654185361345</v>
      </c>
    </row>
    <row r="77" spans="1:111">
      <c r="A77">
        <v>18</v>
      </c>
      <c r="B77">
        <f t="shared" si="35"/>
        <v>0.4</v>
      </c>
      <c r="C77">
        <v>4</v>
      </c>
      <c r="D77">
        <f>tetto!D77*coord!$B$13-tetto!G77*coord!$B$14</f>
        <v>21121816.819501068</v>
      </c>
      <c r="E77" s="5">
        <f>90-DEGREES(ACOS((coord!$B$2*($T77*1000-coord!$B$2)+coord!$C$2*($U77*1000-coord!$C$2)+coord!$D$2*($V77*1000-coord!$D$2))/(SQRT(coord!$B$2^2+coord!$C$2^2+coord!$D$2^2)*SQRT(($T77*1000-coord!$B$2)^2+($U77*1000-coord!$C$2)^2+($V77*1000-coord!$D$2)^2))))</f>
        <v>55.079202108944351</v>
      </c>
      <c r="F77">
        <f>(coord!$C$2*($V77*1000-coord!$D$2)-coord!$D$2*($U77*1000-coord!$C$2))/(SQRT(coord!$B$2^2+coord!$C$2^2+coord!$D$2^2)*SQRT(($T77*1000-coord!$B$2)^2+($U77*1000-coord!$C$2)^2+($V77*1000-coord!$D$2)^2))</f>
        <v>0.33560407606015469</v>
      </c>
      <c r="G77">
        <f>(-coord!$B$2*($V77*1000-coord!$D$2)+coord!$D$2*($T77*1000-coord!$B$2))/(SQRT(coord!$B$2^2+coord!$C$2^2+coord!$D$2^2)*SQRT(($T77*1000-coord!$B$2)^2+($U77*1000-coord!$C$2)^2+($V77*1000-coord!$D$2)^2))</f>
        <v>0.26551542227772745</v>
      </c>
      <c r="H77">
        <f>(coord!$B$2*($U77*1000-coord!$C$2)-coord!$C$2*($T77*1000-coord!$B$2))/(SQRT(coord!$B$2^2+coord!$C$2^2+coord!$D$2^2)*SQRT(($T77*1000-coord!$B$2)^2+($U77*1000-coord!$C$2)^2+($V77*1000-coord!$D$2)^2))</f>
        <v>-0.38021451285875651</v>
      </c>
      <c r="I77">
        <f t="shared" si="36"/>
        <v>-0.53976559639893718</v>
      </c>
      <c r="J77">
        <f t="shared" si="37"/>
        <v>0.19063426455036775</v>
      </c>
      <c r="K77">
        <f t="shared" si="38"/>
        <v>-1.8136282341417731E-3</v>
      </c>
      <c r="L77">
        <f t="shared" si="39"/>
        <v>250.54781226532447</v>
      </c>
      <c r="M77" s="5">
        <f>'sv04'!$AA$3+'sv04'!$Z$3*($B77)+'sv04'!$Y$3*($B77)^2+'sv04'!$X$3*($B77)^3+'sv04'!$W$3*($B77)^4+'sv04'!$V$3*($B77)^5+'sv04'!$U$3*($B77)^6+'sv04'!$T$3*($B77)^7+'sv04'!$S$3*($B77)^8</f>
        <v>21494.152261891937</v>
      </c>
      <c r="N77" s="5">
        <f>'sv04'!$AA$4+'sv04'!$Z$4*($B77)+'sv04'!$Y$4*($B77)^2+'sv04'!$X$4*($B77)^3+'sv04'!$W$4*($B77)^4+'sv04'!$V$4*($B77)^5+'sv04'!$U$4*($B77)^6+'sv04'!$T$4*($B77)^7+'sv04'!$S$4*($B77)^8</f>
        <v>-7137.3449981558115</v>
      </c>
      <c r="O77" s="5">
        <f>'sv04'!$AA$5+'sv04'!$Z$5*($B77)+'sv04'!$Y$5*($B77)^2+'sv04'!$X$5*($B77)^3+'sv04'!$W$5*($B77)^4+'sv04'!$V$5*($B77)^5+'sv04'!$U$5*($B77)^6+'sv04'!$T$5*($B77)^7+'sv04'!$S$5*($B77)^8</f>
        <v>13987.615772765992</v>
      </c>
      <c r="P77" s="5">
        <f>'sv04'!$AA$6+'sv04'!$Z$6*$B77+'sv04'!$Y$6*$B77^2+'sv04'!$X$6*$B77^3+'sv04'!$W$6*$B77^4+'sv04'!$V$6*$B77^5+'sv04'!$U$6*$B77^6+'sv04'!$T$6*$B77^7+'sv04'!$S$6*$B77^8</f>
        <v>86.59931202182409</v>
      </c>
      <c r="R77">
        <f>SQRT(($M77*1000-coord!$B$2)^2+($N77*1000-coord!$C$2)^2+($O77*1000-coord!$D$2)^2)/coord!$B$6</f>
        <v>7.054138716198767E-2</v>
      </c>
      <c r="T77" s="5">
        <f>'sv04'!$AA$3+'sv04'!$Z$3*($B77-$R77/3600)+'sv04'!$Y$3*($B77-$R77/3600)^2+'sv04'!$X$3*($B77-$R77/3600)^3+'sv04'!$W$3*($B77-$R77/3600)^4+'sv04'!$V$3*($B77-$R77/3600)^5+'sv04'!$U$3*($B77-$R77/3600)^6+'sv04'!$T$3*($B77-$R77/3600)^7+'sv04'!$S$3*($B77-$R77/3600)^8+N77*coord!$B$7*R77</f>
        <v>21493.99278860246</v>
      </c>
      <c r="U77" s="5">
        <f>'sv04'!$AA$4+'sv04'!$Z$4*($B77-$R77/3600)+'sv04'!$Y$4*($B77-$R77/3600)^2+'sv04'!$X$4*($B77-$R77/3600)^3+'sv04'!$W$4*($B77-$R77/3600)^4+'sv04'!$V$4*($B77-$R77/3600)^5+'sv04'!$U$4*($B77-$R77/3600)^6+'sv04'!$T$4*($B77-$R77/3600)^7+'sv04'!$S$4*($B77-$R77/3600)^8-M77*coord!$B$7*R77</f>
        <v>-7137.4914226988412</v>
      </c>
      <c r="V77" s="5">
        <f>'sv04'!$AA$5+'sv04'!$Z$5*($B77-$R77/3600)+'sv04'!$Y$5*($B77-$R77/3600)^2+'sv04'!$X$5*($B77-$R77/3600)^3+'sv04'!$W$5*($B77-$R77/3600)^4+'sv04'!$V$5*($B77-$R77/3600)^5+'sv04'!$U$5*($B77-$R77/3600)^6+'sv04'!$T$5*($B77-$R77/3600)^7+'sv04'!$S$5*($B77-$R77/3600)^8</f>
        <v>13987.78153304395</v>
      </c>
      <c r="W77">
        <f>coord!$B$6*P77/10^6</f>
        <v>25961.820612131592</v>
      </c>
      <c r="X77">
        <f>SQRT(($T77*1000+coord!$B$7*$R77*$U77*1000-coord!$B$2)^2+($U77*1000-coord!$B$7*$R77*$T77*1000-coord!$C$2)^2+($V77*1000-coord!$D$2)^2)</f>
        <v>21147789.346205249</v>
      </c>
      <c r="Y77" s="3">
        <f>$D77-(X77-$W77)-coord!$E$2</f>
        <v>-10.706092048436403</v>
      </c>
      <c r="Z77" s="3"/>
      <c r="AB77">
        <f>-(T77*1000-coord!$B$2)/$X77</f>
        <v>-0.80883700597631469</v>
      </c>
      <c r="AC77">
        <f>-(U77*1000-coord!$C$2)/$X77</f>
        <v>0.38122479394497538</v>
      </c>
      <c r="AD77">
        <f>-(V77*1000-coord!$D$2)/$X77</f>
        <v>-0.44771550840338392</v>
      </c>
      <c r="AE77">
        <v>1</v>
      </c>
      <c r="AG77">
        <v>1</v>
      </c>
      <c r="AH77">
        <v>1</v>
      </c>
      <c r="AI77">
        <v>1</v>
      </c>
      <c r="AJ77">
        <v>1</v>
      </c>
      <c r="AK77">
        <v>1</v>
      </c>
      <c r="AL77">
        <v>1</v>
      </c>
      <c r="AM77">
        <v>1</v>
      </c>
      <c r="AO77">
        <v>-3.1862497666912835</v>
      </c>
      <c r="AP77">
        <v>-5.040427778517062E-2</v>
      </c>
      <c r="AQ77">
        <v>-3.4528858750534219</v>
      </c>
      <c r="AR77">
        <v>7</v>
      </c>
      <c r="AT77">
        <v>1.8845063550889192</v>
      </c>
      <c r="AU77">
        <v>0.15587585808660903</v>
      </c>
      <c r="AV77">
        <v>1.8833756082410715</v>
      </c>
      <c r="AW77">
        <v>1.9307779684852933</v>
      </c>
      <c r="AY77">
        <v>-25.411045871675014</v>
      </c>
      <c r="BA77">
        <v>4.766110073190184</v>
      </c>
      <c r="BD77">
        <f>SQRT(($T77*1000+coord!$B$7*$R77*$U77*1000-coord!$B$2-BA$74)^2+($U77*1000-coord!$B$7*$R77*$T77*1000-coord!$C$2-BA$75)^2+($V77*1000-coord!$D$2-BA$76)^2)</f>
        <v>21147769.929478452</v>
      </c>
      <c r="BE77" s="3">
        <f t="shared" si="40"/>
        <v>3.9445246761925503</v>
      </c>
      <c r="BG77" s="1"/>
      <c r="BH77" s="1"/>
      <c r="BI77" s="1"/>
      <c r="CA77">
        <v>0</v>
      </c>
      <c r="CB77">
        <v>0</v>
      </c>
      <c r="CC77">
        <v>0</v>
      </c>
      <c r="CD77">
        <v>1</v>
      </c>
      <c r="CG77" s="1"/>
      <c r="CH77" s="1"/>
      <c r="CI77" s="1"/>
      <c r="CK77">
        <v>1.8845063550889192</v>
      </c>
      <c r="CL77">
        <v>0.15587585808660903</v>
      </c>
      <c r="CM77">
        <v>1.8833756082410715</v>
      </c>
      <c r="CN77">
        <v>1.9307779684852933</v>
      </c>
      <c r="CP77">
        <v>0</v>
      </c>
      <c r="CQ77">
        <v>0</v>
      </c>
      <c r="CR77">
        <v>0</v>
      </c>
      <c r="CS77">
        <v>1</v>
      </c>
      <c r="CU77" s="5">
        <v>-1.3980948229718404E-2</v>
      </c>
      <c r="CV77" s="5">
        <v>-0.23593007828589008</v>
      </c>
      <c r="CW77" s="5">
        <v>2.6583654185361345</v>
      </c>
      <c r="CX77" s="5">
        <v>1.9307779684852933</v>
      </c>
    </row>
    <row r="78" spans="1:111">
      <c r="A78">
        <v>18</v>
      </c>
      <c r="B78">
        <f t="shared" si="35"/>
        <v>0.4</v>
      </c>
      <c r="C78">
        <v>20</v>
      </c>
      <c r="D78">
        <f>tetto!D78*coord!$B$13-tetto!G78*coord!$B$14</f>
        <v>22938779.295885794</v>
      </c>
      <c r="E78" s="5">
        <f>90-DEGREES(ACOS((coord!$B$2*($T78*1000-coord!$B$2)+coord!$C$2*($U78*1000-coord!$C$2)+coord!$D$2*($V78*1000-coord!$D$2))/(SQRT(coord!$B$2^2+coord!$C$2^2+coord!$D$2^2)*SQRT(($T78*1000-coord!$B$2)^2+($U78*1000-coord!$C$2)^2+($V78*1000-coord!$D$2)^2))))</f>
        <v>28.098110087903869</v>
      </c>
      <c r="F78">
        <f>(coord!$C$2*($V78*1000-coord!$D$2)-coord!$D$2*($U78*1000-coord!$C$2))/(SQRT(coord!$B$2^2+coord!$C$2^2+coord!$D$2^2)*SQRT(($T78*1000-coord!$B$2)^2+($U78*1000-coord!$C$2)^2+($V78*1000-coord!$D$2)^2))</f>
        <v>-0.63090887757066072</v>
      </c>
      <c r="G78">
        <f>(-coord!$B$2*($V78*1000-coord!$D$2)+coord!$D$2*($T78*1000-coord!$B$2))/(SQRT(coord!$B$2^2+coord!$C$2^2+coord!$D$2^2)*SQRT(($T78*1000-coord!$B$2)^2+($U78*1000-coord!$C$2)^2+($V78*1000-coord!$D$2)^2))</f>
        <v>0.25833287222006318</v>
      </c>
      <c r="H78">
        <f>(coord!$B$2*($U78*1000-coord!$C$2)-coord!$C$2*($T78*1000-coord!$B$2))/(SQRT(coord!$B$2^2+coord!$C$2^2+coord!$D$2^2)*SQRT(($T78*1000-coord!$B$2)^2+($U78*1000-coord!$C$2)^2+($V78*1000-coord!$D$2)^2))</f>
        <v>0.55981544517583326</v>
      </c>
      <c r="I78">
        <f t="shared" si="36"/>
        <v>0.79473568256951577</v>
      </c>
      <c r="J78">
        <f t="shared" si="37"/>
        <v>0.38283585816852317</v>
      </c>
      <c r="K78">
        <f t="shared" si="38"/>
        <v>2.6679346864585396E-3</v>
      </c>
      <c r="L78">
        <f t="shared" si="39"/>
        <v>115.72080031137878</v>
      </c>
      <c r="M78" s="5">
        <f>'sv20'!$AA$3+'sv20'!$Z$3*($B78)+'sv20'!$Y$3*($B78)^2+'sv20'!$X$3*($B78)^3+'sv20'!$W$3*($B78)^4+'sv20'!$V$3*($B78)^5+'sv20'!$U$3*($B78)^6+'sv20'!$T$3*($B78)^7+'sv20'!$S$3*($B78)^8</f>
        <v>14184.186335902965</v>
      </c>
      <c r="N78" s="5">
        <f>'sv20'!$AA$4+'sv20'!$Z$4*($B78)+'sv20'!$Y$4*($B78)^2+'sv20'!$X$4*($B78)^3+'sv20'!$W$4*($B78)^4+'sv20'!$V$4*($B78)^5+'sv20'!$U$4*($B78)^6+'sv20'!$T$4*($B78)^7+'sv20'!$S$4*($B78)^8</f>
        <v>21632.292167696298</v>
      </c>
      <c r="O78" s="5">
        <f>'sv20'!$AA$5+'sv20'!$Z$5*($B78)+'sv20'!$Y$5*($B78)^2+'sv20'!$X$5*($B78)^3+'sv20'!$W$5*($B78)^4+'sv20'!$V$5*($B78)^5+'sv20'!$U$5*($B78)^6+'sv20'!$T$5*($B78)^7+'sv20'!$S$5*($B78)^8</f>
        <v>6003.0178009921292</v>
      </c>
      <c r="P78" s="5">
        <f>'sv20'!$AA$6+'sv20'!$Z$6*$B78+'sv20'!$Y$6*$B78^2+'sv20'!$X$6*$B78^3+'sv20'!$W$6*$B78^4+'sv20'!$V$6*$B78^5+'sv20'!$U$6*$B78^6+'sv20'!$T$6*$B78^7+'sv20'!$S$6*$B78^8</f>
        <v>55.81787662371989</v>
      </c>
      <c r="R78">
        <f>SQRT(($M78*1000-coord!$B$2)^2+($N78*1000-coord!$C$2)^2+($O78*1000-coord!$D$2)^2)/coord!$B$6</f>
        <v>7.6571552426218714E-2</v>
      </c>
      <c r="T78" s="5">
        <f>'sv20'!$AA$3+'sv20'!$Z$3*($B78-$R78/3600)+'sv20'!$Y$3*($B78-$R78/3600)^2+'sv20'!$X$3*($B78-$R78/3600)^3+'sv20'!$W$3*($B78-$R78/3600)^4+'sv20'!$V$3*($B78-$R78/3600)^5+'sv20'!$U$3*($B78-$R78/3600)^6+'sv20'!$T$3*($B78-$R78/3600)^7+'sv20'!$S$3*($B78-$R78/3600)^8+N78*coord!$B$7*R78</f>
        <v>14184.307158262964</v>
      </c>
      <c r="U78" s="5">
        <f>'sv20'!$AA$4+'sv20'!$Z$4*($B78-$R78/3600)+'sv20'!$Y$4*($B78-$R78/3600)^2+'sv20'!$X$4*($B78-$R78/3600)^3+'sv20'!$W$4*($B78-$R78/3600)^4+'sv20'!$V$4*($B78-$R78/3600)^5+'sv20'!$U$4*($B78-$R78/3600)^6+'sv20'!$T$4*($B78-$R78/3600)^7+'sv20'!$S$4*($B78-$R78/3600)^8-M78*coord!$B$7*R78</f>
        <v>21632.147760676009</v>
      </c>
      <c r="V78" s="5">
        <f>'sv20'!$AA$5+'sv20'!$Z$5*($B78-$R78/3600)+'sv20'!$Y$5*($B78-$R78/3600)^2+'sv20'!$X$5*($B78-$R78/3600)^3+'sv20'!$W$5*($B78-$R78/3600)^4+'sv20'!$V$5*($B78-$R78/3600)^5+'sv20'!$U$5*($B78-$R78/3600)^6+'sv20'!$T$5*($B78-$R78/3600)^7+'sv20'!$S$5*($B78-$R78/3600)^8</f>
        <v>6003.247095080349</v>
      </c>
      <c r="W78">
        <f>coord!$B$6*P78/10^6</f>
        <v>16733.778433365726</v>
      </c>
      <c r="X78">
        <f>SQRT(($T78*1000+coord!$B$7*$R78*$U78*1000-coord!$B$2)^2+($U78*1000-coord!$B$7*$R78*$T78*1000-coord!$C$2)^2+($V78*1000-coord!$D$2)^2)</f>
        <v>22955490.120314907</v>
      </c>
      <c r="Y78" s="3">
        <f>$D78-(X78-$W78)-coord!$E$2</f>
        <v>22.954004250466824</v>
      </c>
      <c r="Z78" s="3"/>
      <c r="AB78">
        <f>-(T78*1000-coord!$B$2)/$X78</f>
        <v>-0.42671399896595147</v>
      </c>
      <c r="AC78">
        <f>-(U78*1000-coord!$C$2)/$X78</f>
        <v>-0.90207516541545918</v>
      </c>
      <c r="AD78">
        <f>-(V78*1000-coord!$D$2)/$X78</f>
        <v>-6.4631981848532014E-2</v>
      </c>
      <c r="AE78">
        <v>1</v>
      </c>
      <c r="BD78">
        <f>SQRT(($T78*1000+coord!$B$7*$R78*$U78*1000-coord!$B$2-BA$74)^2+($U78*1000-coord!$B$7*$R78*$T78*1000-coord!$C$2-BA$75)^2+($V78*1000-coord!$D$2-BA$76)^2)</f>
        <v>22955505.363187019</v>
      </c>
      <c r="BE78" s="3">
        <f t="shared" si="40"/>
        <v>2.9450220657773301</v>
      </c>
      <c r="BG78" s="1"/>
      <c r="BH78" s="1"/>
      <c r="BI78" s="1"/>
      <c r="CG78" s="1"/>
      <c r="CH78" s="1"/>
      <c r="CI78" s="1"/>
    </row>
    <row r="79" spans="1:111">
      <c r="A79">
        <v>18</v>
      </c>
      <c r="B79">
        <f t="shared" si="35"/>
        <v>0.4</v>
      </c>
      <c r="C79">
        <v>13</v>
      </c>
      <c r="D79">
        <f>tetto!D79*coord!$B$13-tetto!G79*coord!$B$14</f>
        <v>20113706.617157146</v>
      </c>
      <c r="E79" s="5">
        <f>90-DEGREES(ACOS((coord!$B$2*($T79*1000-coord!$B$2)+coord!$C$2*($U79*1000-coord!$C$2)+coord!$D$2*($V79*1000-coord!$D$2))/(SQRT(coord!$B$2^2+coord!$C$2^2+coord!$D$2^2)*SQRT(($T79*1000-coord!$B$2)^2+($U79*1000-coord!$C$2)^2+($V79*1000-coord!$D$2)^2))))</f>
        <v>77.140196233380692</v>
      </c>
      <c r="F79">
        <f>(coord!$C$2*($V79*1000-coord!$D$2)-coord!$D$2*($U79*1000-coord!$C$2))/(SQRT(coord!$B$2^2+coord!$C$2^2+coord!$D$2^2)*SQRT(($T79*1000-coord!$B$2)^2+($U79*1000-coord!$C$2)^2+($V79*1000-coord!$D$2)^2))</f>
        <v>-9.2099922163956186E-3</v>
      </c>
      <c r="G79">
        <f>(-coord!$B$2*($V79*1000-coord!$D$2)+coord!$D$2*($T79*1000-coord!$B$2))/(SQRT(coord!$B$2^2+coord!$C$2^2+coord!$D$2^2)*SQRT(($T79*1000-coord!$B$2)^2+($U79*1000-coord!$C$2)^2+($V79*1000-coord!$D$2)^2))</f>
        <v>-0.21593834215180319</v>
      </c>
      <c r="H79">
        <f>(coord!$B$2*($U79*1000-coord!$C$2)-coord!$C$2*($T79*1000-coord!$B$2))/(SQRT(coord!$B$2^2+coord!$C$2^2+coord!$D$2^2)*SQRT(($T79*1000-coord!$B$2)^2+($U79*1000-coord!$C$2)^2+($V79*1000-coord!$D$2)^2))</f>
        <v>5.3118044888791655E-2</v>
      </c>
      <c r="I79">
        <f t="shared" si="36"/>
        <v>7.5407534510725363E-2</v>
      </c>
      <c r="J79">
        <f t="shared" si="37"/>
        <v>-0.20940238171299044</v>
      </c>
      <c r="K79">
        <f t="shared" si="38"/>
        <v>2.5403276122001189E-4</v>
      </c>
      <c r="L79">
        <f t="shared" si="39"/>
        <v>19.804369090742668</v>
      </c>
      <c r="M79" s="5">
        <f>'sv13'!$AA$3+'sv13'!$Z$3*($B79)+'sv13'!$Y$3*($B79)^2+'sv13'!$X$3*($B79)^3+'sv13'!$W$3*($B79)^4+'sv13'!$V$3*($B79)^5+'sv13'!$U$3*($B79)^6+'sv13'!$T$3*($B79)^7+'sv13'!$S$3*($B79)^8</f>
        <v>14713.412757147156</v>
      </c>
      <c r="N79" s="5">
        <f>'sv13'!$AA$4+'sv13'!$Z$4*($B79)+'sv13'!$Y$4*($B79)^2+'sv13'!$X$4*($B79)^3+'sv13'!$W$4*($B79)^4+'sv13'!$V$4*($B79)^5+'sv13'!$U$4*($B79)^6+'sv13'!$T$4*($B79)^7+'sv13'!$S$4*($B79)^8</f>
        <v>4656.868272610659</v>
      </c>
      <c r="O79" s="5">
        <f>'sv13'!$AA$5+'sv13'!$Z$5*($B79)+'sv13'!$Y$5*($B79)^2+'sv13'!$X$5*($B79)^3+'sv13'!$W$5*($B79)^4+'sv13'!$V$5*($B79)^5+'sv13'!$U$5*($B79)^6+'sv13'!$T$5*($B79)^7+'sv13'!$S$5*($B79)^8</f>
        <v>21481.689290818103</v>
      </c>
      <c r="P79" s="5">
        <f>'sv13'!$AA$6+'sv13'!$Z$6*$B79+'sv13'!$Y$6*$B79^2+'sv13'!$X$6*$B79^3+'sv13'!$W$6*$B79^4+'sv13'!$V$6*$B79^5+'sv13'!$U$6*$B79^6+'sv13'!$T$6*$B79^7+'sv13'!$S$6*$B79^8</f>
        <v>304.21953913663663</v>
      </c>
      <c r="R79">
        <f>SQRT(($M79*1000-coord!$B$2)^2+($N79*1000-coord!$C$2)^2+($O79*1000-coord!$D$2)^2)/coord!$B$6</f>
        <v>6.7396370298096017E-2</v>
      </c>
      <c r="T79" s="5">
        <f>'sv13'!$AA$3+'sv13'!$Z$3*($B79-$R79/3600)+'sv13'!$Y$3*($B79-$R79/3600)^2+'sv13'!$X$3*($B79-$R79/3600)^3+'sv13'!$W$3*($B79-$R79/3600)^4+'sv13'!$V$3*($B79-$R79/3600)^5+'sv13'!$U$3*($B79-$R79/3600)^6+'sv13'!$T$3*($B79-$R79/3600)^7+'sv13'!$S$3*($B79-$R79/3600)^8+N79*coord!$B$7*R79</f>
        <v>14713.558265209631</v>
      </c>
      <c r="U79" s="5">
        <f>'sv13'!$AA$4+'sv13'!$Z$4*($B79-$R79/3600)+'sv13'!$Y$4*($B79-$R79/3600)^2+'sv13'!$X$4*($B79-$R79/3600)^3+'sv13'!$W$4*($B79-$R79/3600)^4+'sv13'!$V$4*($B79-$R79/3600)^5+'sv13'!$U$4*($B79-$R79/3600)^6+'sv13'!$T$4*($B79-$R79/3600)^7+'sv13'!$S$4*($B79-$R79/3600)^8-M79*coord!$B$7*R79</f>
        <v>4656.6568003475077</v>
      </c>
      <c r="V79" s="5">
        <f>'sv13'!$AA$5+'sv13'!$Z$5*($B79-$R79/3600)+'sv13'!$Y$5*($B79-$R79/3600)^2+'sv13'!$X$5*($B79-$R79/3600)^3+'sv13'!$W$5*($B79-$R79/3600)^4+'sv13'!$V$5*($B79-$R79/3600)^5+'sv13'!$U$5*($B79-$R79/3600)^6+'sv13'!$T$5*($B79-$R79/3600)^7+'sv13'!$S$5*($B79-$R79/3600)^8</f>
        <v>21481.636022635284</v>
      </c>
      <c r="W79">
        <f>coord!$B$6*P79/10^6</f>
        <v>91202.723409399492</v>
      </c>
      <c r="X79">
        <f>SQRT(($T79*1000+coord!$B$7*$R79*$U79*1000-coord!$B$2)^2+($U79*1000-coord!$B$7*$R79*$T79*1000-coord!$C$2)^2+($V79*1000-coord!$D$2)^2)</f>
        <v>20204912.422416754</v>
      </c>
      <c r="Y79" s="3">
        <f>$D79-(X79-$W79)-coord!$E$2</f>
        <v>-3.0818502083420753</v>
      </c>
      <c r="Z79" s="3"/>
      <c r="AB79">
        <f>-(T79*1000-coord!$B$2)/$X79</f>
        <v>-0.51099850761811283</v>
      </c>
      <c r="AC79">
        <f>-(U79*1000-coord!$C$2)/$X79</f>
        <v>-0.18471184180966149</v>
      </c>
      <c r="AD79">
        <f>-(V79*1000-coord!$D$2)/$X79</f>
        <v>-0.83950117643253908</v>
      </c>
      <c r="AE79">
        <v>1</v>
      </c>
      <c r="BD79">
        <f>SQRT(($T79*1000+coord!$B$7*$R79*$U79*1000-coord!$B$2-BA$74)^2+($U79*1000-coord!$B$7*$R79*$T79*1000-coord!$C$2-BA$75)^2+($V79*1000-coord!$D$2-BA$76)^2)</f>
        <v>20204904.133268848</v>
      </c>
      <c r="BE79" s="3">
        <f t="shared" si="40"/>
        <v>0.44118762447312321</v>
      </c>
      <c r="BG79" s="1"/>
      <c r="BH79" s="1"/>
      <c r="BI79" s="1"/>
      <c r="CG79" s="1"/>
      <c r="CH79" s="1"/>
      <c r="CI79" s="1"/>
    </row>
    <row r="80" spans="1:111">
      <c r="A80">
        <v>18</v>
      </c>
      <c r="B80">
        <f t="shared" si="35"/>
        <v>0.4</v>
      </c>
      <c r="C80">
        <v>7</v>
      </c>
      <c r="D80">
        <f>tetto!D80*coord!$B$13-tetto!G80*coord!$B$14</f>
        <v>21928448.796135254</v>
      </c>
      <c r="E80" s="5">
        <f>90-DEGREES(ACOS((coord!$B$2*($T80*1000-coord!$B$2)+coord!$C$2*($U80*1000-coord!$C$2)+coord!$D$2*($V80*1000-coord!$D$2))/(SQRT(coord!$B$2^2+coord!$C$2^2+coord!$D$2^2)*SQRT(($T80*1000-coord!$B$2)^2+($U80*1000-coord!$C$2)^2+($V80*1000-coord!$D$2)^2))))</f>
        <v>42.552994273685911</v>
      </c>
      <c r="F80">
        <f>(coord!$C$2*($V80*1000-coord!$D$2)-coord!$D$2*($U80*1000-coord!$C$2))/(SQRT(coord!$B$2^2+coord!$C$2^2+coord!$D$2^2)*SQRT(($T80*1000-coord!$B$2)^2+($U80*1000-coord!$C$2)^2+($V80*1000-coord!$D$2)^2))</f>
        <v>-0.1827423626261761</v>
      </c>
      <c r="G80">
        <f>(-coord!$B$2*($V80*1000-coord!$D$2)+coord!$D$2*($T80*1000-coord!$B$2))/(SQRT(coord!$B$2^2+coord!$C$2^2+coord!$D$2^2)*SQRT(($T80*1000-coord!$B$2)^2+($U80*1000-coord!$C$2)^2+($V80*1000-coord!$D$2)^2))</f>
        <v>0.71292506082162321</v>
      </c>
      <c r="H80">
        <f>(coord!$B$2*($U80*1000-coord!$C$2)-coord!$C$2*($T80*1000-coord!$B$2))/(SQRT(coord!$B$2^2+coord!$C$2^2+coord!$D$2^2)*SQRT(($T80*1000-coord!$B$2)^2+($U80*1000-coord!$C$2)^2+($V80*1000-coord!$D$2)^2))</f>
        <v>3.1614537001846979E-2</v>
      </c>
      <c r="I80">
        <f t="shared" si="36"/>
        <v>4.4883831232955279E-2</v>
      </c>
      <c r="J80">
        <f t="shared" si="37"/>
        <v>0.7352834910139906</v>
      </c>
      <c r="K80">
        <f t="shared" si="38"/>
        <v>1.4809349610000674E-4</v>
      </c>
      <c r="L80">
        <f t="shared" si="39"/>
        <v>176.50683436220541</v>
      </c>
      <c r="M80" s="5">
        <f>'sv07'!$AA$3+'sv07'!$Z$3*($B80)+'sv07'!$Y$3*($B80)^2+'sv07'!$X$3*($B80)^3+'sv07'!$W$3*($B80)^4+'sv07'!$V$3*($B80)^5+'sv07'!$U$3*($B80)^6+'sv07'!$T$3*($B80)^7+'sv07'!$S$3*($B80)^8</f>
        <v>25606.173239759079</v>
      </c>
      <c r="N80" s="5">
        <f>'sv07'!$AA$4+'sv07'!$Z$4*($B80)+'sv07'!$Y$4*($B80)^2+'sv07'!$X$4*($B80)^3+'sv07'!$W$4*($B80)^4+'sv07'!$V$4*($B80)^5+'sv07'!$U$4*($B80)^6+'sv07'!$T$4*($B80)^7+'sv07'!$S$4*($B80)^8</f>
        <v>6400.1846388136091</v>
      </c>
      <c r="O80" s="5">
        <f>'sv07'!$AA$5+'sv07'!$Z$5*($B80)+'sv07'!$Y$5*($B80)^2+'sv07'!$X$5*($B80)^3+'sv07'!$W$5*($B80)^4+'sv07'!$V$5*($B80)^5+'sv07'!$U$5*($B80)^6+'sv07'!$T$5*($B80)^7+'sv07'!$S$5*($B80)^8</f>
        <v>3688.3765436765234</v>
      </c>
      <c r="P80" s="5">
        <f>'sv07'!$AA$6+'sv07'!$Z$6*$B80+'sv07'!$Y$6*$B80^2+'sv07'!$X$6*$B80^3+'sv07'!$W$6*$B80^4+'sv07'!$V$6*$B80^5+'sv07'!$U$6*$B80^6+'sv07'!$T$6*$B80^7+'sv07'!$S$6*$B80^8</f>
        <v>-0.63772959788864614</v>
      </c>
      <c r="R80">
        <f>SQRT(($M80*1000-coord!$B$2)^2+($N80*1000-coord!$C$2)^2+($O80*1000-coord!$D$2)^2)/coord!$B$6</f>
        <v>7.3144671979120515E-2</v>
      </c>
      <c r="T80" s="5">
        <f>'sv07'!$AA$3+'sv07'!$Z$3*($B80-$R80/3600)+'sv07'!$Y$3*($B80-$R80/3600)^2+'sv07'!$X$3*($B80-$R80/3600)^3+'sv07'!$W$3*($B80-$R80/3600)^4+'sv07'!$V$3*($B80-$R80/3600)^5+'sv07'!$U$3*($B80-$R80/3600)^6+'sv07'!$T$3*($B80-$R80/3600)^7+'sv07'!$S$3*($B80-$R80/3600)^8+N80*coord!$B$7*R80</f>
        <v>25606.24365884986</v>
      </c>
      <c r="U80" s="5">
        <f>'sv07'!$AA$4+'sv07'!$Z$4*($B80-$R80/3600)+'sv07'!$Y$4*($B80-$R80/3600)^2+'sv07'!$X$4*($B80-$R80/3600)^3+'sv07'!$W$4*($B80-$R80/3600)^4+'sv07'!$V$4*($B80-$R80/3600)^5+'sv07'!$U$4*($B80-$R80/3600)^6+'sv07'!$T$4*($B80-$R80/3600)^7+'sv07'!$S$4*($B80-$R80/3600)^8-M80*coord!$B$7*R80</f>
        <v>6400.036506388712</v>
      </c>
      <c r="V80" s="5">
        <f>'sv07'!$AA$5+'sv07'!$Z$5*($B80-$R80/3600)+'sv07'!$Y$5*($B80-$R80/3600)^2+'sv07'!$X$5*($B80-$R80/3600)^3+'sv07'!$W$5*($B80-$R80/3600)^4+'sv07'!$V$5*($B80-$R80/3600)^5+'sv07'!$U$5*($B80-$R80/3600)^6+'sv07'!$T$5*($B80-$R80/3600)^7+'sv07'!$S$5*($B80-$R80/3600)^8</f>
        <v>3688.1466464358145</v>
      </c>
      <c r="W80">
        <f>coord!$B$6*P80/10^6</f>
        <v>-191.18652369038884</v>
      </c>
      <c r="X80">
        <f>SQRT(($T80*1000+coord!$B$7*$R80*$U80*1000-coord!$B$2)^2+($U80*1000-coord!$B$7*$R80*$T80*1000-coord!$C$2)^2+($V80*1000-coord!$D$2)^2)</f>
        <v>21928259.791709982</v>
      </c>
      <c r="Y80" s="3">
        <f>$D80-(X80-$W80)-coord!$E$2</f>
        <v>-2.1820984184741974</v>
      </c>
      <c r="Z80" s="3" t="s">
        <v>127</v>
      </c>
      <c r="AA80" s="1" t="s">
        <v>128</v>
      </c>
      <c r="AB80">
        <f>-(T80*1000-coord!$B$2)/$X80</f>
        <v>-0.96758090653737716</v>
      </c>
      <c r="AC80">
        <f>-(U80*1000-coord!$C$2)/$X80</f>
        <v>-0.24969907987220771</v>
      </c>
      <c r="AD80">
        <f>-(V80*1000-coord!$D$2)/$X80</f>
        <v>3.7916443701497611E-2</v>
      </c>
      <c r="AE80">
        <v>1</v>
      </c>
      <c r="BD80">
        <f>SQRT(($T80*1000+coord!$B$7*$R80*$U80*1000-coord!$B$2-BA$74)^2+($U80*1000-coord!$B$7*$R80*$T80*1000-coord!$C$2-BA$75)^2+($V80*1000-coord!$D$2-BA$76)^2)</f>
        <v>21928257.227107838</v>
      </c>
      <c r="BE80" s="3">
        <f t="shared" si="40"/>
        <v>-4.3836063476018623</v>
      </c>
      <c r="BF80" s="3" t="s">
        <v>127</v>
      </c>
      <c r="BG80" s="1" t="s">
        <v>128</v>
      </c>
      <c r="BH80" s="1"/>
      <c r="BI80" s="1"/>
      <c r="CG80" s="1"/>
      <c r="CH80" s="1"/>
      <c r="CI80" s="1"/>
    </row>
    <row r="81" spans="1:111">
      <c r="Y81" s="3"/>
      <c r="Z81" s="3">
        <f>AVERAGE($Y74:$Y80)</f>
        <v>-3.6301494102392877</v>
      </c>
      <c r="AA81" s="1">
        <f>SQRT(DEVSQ($Y74:$Y80)/6)</f>
        <v>14.916265498680042</v>
      </c>
      <c r="BE81" s="3"/>
      <c r="BF81" s="3">
        <f>AVERAGE($BE74:$BE80)</f>
        <v>6.8083990363732028E-5</v>
      </c>
      <c r="BG81" s="1">
        <f>SQRT(DEVSQ($BE74:$BE80)/6)</f>
        <v>3.2085891922107019</v>
      </c>
      <c r="BH81" s="1"/>
      <c r="BI81" s="1"/>
      <c r="CG81" s="1"/>
      <c r="CH81" s="1"/>
      <c r="CI81" s="1"/>
    </row>
    <row r="82" spans="1:111">
      <c r="A82">
        <v>24</v>
      </c>
      <c r="B82">
        <f t="shared" ref="B82:B144" si="41">(60-45)/60+30*A82/3600</f>
        <v>0.45</v>
      </c>
      <c r="C82">
        <v>2</v>
      </c>
      <c r="D82">
        <f>tetto!D82*coord!$B$13-tetto!G82*coord!$B$14</f>
        <v>22599119.464976378</v>
      </c>
      <c r="E82" s="5">
        <f>90-DEGREES(ACOS((coord!$B$2*($T82*1000-coord!$B$2)+coord!$C$2*($U82*1000-coord!$C$2)+coord!$D$2*($V82*1000-coord!$D$2))/(SQRT(coord!$B$2^2+coord!$C$2^2+coord!$D$2^2)*SQRT(($T82*1000-coord!$B$2)^2+($U82*1000-coord!$C$2)^2+($V82*1000-coord!$D$2)^2))))</f>
        <v>30.511712563584808</v>
      </c>
      <c r="F82">
        <f>(coord!$C$2*($V82*1000-coord!$D$2)-coord!$D$2*($U82*1000-coord!$C$2))/(SQRT(coord!$B$2^2+coord!$C$2^2+coord!$D$2^2)*SQRT(($T82*1000-coord!$B$2)^2+($U82*1000-coord!$C$2)^2+($V82*1000-coord!$D$2)^2))</f>
        <v>0.58663798097723396</v>
      </c>
      <c r="G82">
        <f>(-coord!$B$2*($V82*1000-coord!$D$2)+coord!$D$2*($T82*1000-coord!$B$2))/(SQRT(coord!$B$2^2+coord!$C$2^2+coord!$D$2^2)*SQRT(($T82*1000-coord!$B$2)^2+($U82*1000-coord!$C$2)^2+($V82*1000-coord!$D$2)^2))</f>
        <v>-0.4001498534966707</v>
      </c>
      <c r="H82">
        <f>(coord!$B$2*($U82*1000-coord!$C$2)-coord!$C$2*($T82*1000-coord!$B$2))/(SQRT(coord!$B$2^2+coord!$C$2^2+coord!$D$2^2)*SQRT(($T82*1000-coord!$B$2)^2+($U82*1000-coord!$C$2)^2+($V82*1000-coord!$D$2)^2))</f>
        <v>-0.48781345992302194</v>
      </c>
      <c r="I82">
        <f t="shared" ref="I82:I88" si="42">$F82*$CA$2+$G82*$CB$2+$H82*$CC$2</f>
        <v>-0.69251953062351568</v>
      </c>
      <c r="J82">
        <f t="shared" ref="J82:J88" si="43">$F82*$CA$3+$G82*$CB$3+$H82*$CC$3</f>
        <v>-0.51248150767251288</v>
      </c>
      <c r="K82">
        <f t="shared" ref="K82:K88" si="44">$F82*$CA$4+$G82*$CB$4+$H82*$CC$4</f>
        <v>-2.3241469867481546E-3</v>
      </c>
      <c r="L82">
        <f t="shared" ref="L82:L88" si="45">90+DEGREES(ATAN2(I82,J82))</f>
        <v>-53.497647123183214</v>
      </c>
      <c r="M82" s="5">
        <f>'sv02'!$AA$3+'sv02'!$Z$3*($B82)+'sv02'!$Y$3*($B82)^2+'sv02'!$X$3*($B82)^3+'sv02'!$W$3*($B82)^4+'sv02'!$V$3*($B82)^5+'sv02'!$U$3*($B82)^6+'sv02'!$T$3*($B82)^7+'sv02'!$S$3*($B82)^8</f>
        <v>7490.3639764489599</v>
      </c>
      <c r="N82" s="5">
        <f>'sv02'!$AA$4+'sv02'!$Z$4*($B82)+'sv02'!$Y$4*($B82)^2+'sv02'!$X$4*($B82)^3+'sv02'!$W$4*($B82)^4+'sv02'!$V$4*($B82)^5+'sv02'!$U$4*($B82)^6+'sv02'!$T$4*($B82)^7+'sv02'!$S$4*($B82)^8</f>
        <v>-14470.58467973842</v>
      </c>
      <c r="O82" s="5">
        <f>'sv02'!$AA$5+'sv02'!$Z$5*($B82)+'sv02'!$Y$5*($B82)^2+'sv02'!$X$5*($B82)^3+'sv02'!$W$5*($B82)^4+'sv02'!$V$5*($B82)^5+'sv02'!$U$5*($B82)^6+'sv02'!$T$5*($B82)^7+'sv02'!$S$5*($B82)^8</f>
        <v>20877.597463308066</v>
      </c>
      <c r="P82" s="5">
        <f>'sv02'!$AA$6+'sv02'!$Z$6*$B82+'sv02'!$Y$6*$B82^2+'sv02'!$X$6*$B82^3+'sv02'!$W$6*$B82^4+'sv02'!$V$6*$B82^5+'sv02'!$U$6*$B82^6+'sv02'!$T$6*$B82^7+'sv02'!$S$6*$B82^8</f>
        <v>257.59211758388949</v>
      </c>
      <c r="R82">
        <f>SQRT(($M82*1000-coord!$B$2)^2+($N82*1000-coord!$C$2)^2+($O82*1000-coord!$D$2)^2)/coord!$B$6</f>
        <v>7.5639986925950725E-2</v>
      </c>
      <c r="T82" s="5">
        <f>'sv02'!$AA$3+'sv02'!$Z$3*($B82-$R82/3600)+'sv02'!$Y$3*($B82-$R82/3600)^2+'sv02'!$X$3*($B82-$R82/3600)^3+'sv02'!$W$3*($B82-$R82/3600)^4+'sv02'!$V$3*($B82-$R82/3600)^5+'sv02'!$U$3*($B82-$R82/3600)^6+'sv02'!$T$3*($B82-$R82/3600)^7+'sv02'!$S$3*($B82-$R82/3600)^8+N82*coord!$B$7*R82</f>
        <v>7490.0842535727606</v>
      </c>
      <c r="U82" s="5">
        <f>'sv02'!$AA$4+'sv02'!$Z$4*($B82-$R82/3600)+'sv02'!$Y$4*($B82-$R82/3600)^2+'sv02'!$X$4*($B82-$R82/3600)^3+'sv02'!$W$4*($B82-$R82/3600)^4+'sv02'!$V$4*($B82-$R82/3600)^5+'sv02'!$U$4*($B82-$R82/3600)^6+'sv02'!$T$4*($B82-$R82/3600)^7+'sv02'!$S$4*($B82-$R82/3600)^8-M82*coord!$B$7*R82</f>
        <v>-14470.657041070715</v>
      </c>
      <c r="V82" s="5">
        <f>'sv02'!$AA$5+'sv02'!$Z$5*($B82-$R82/3600)+'sv02'!$Y$5*($B82-$R82/3600)^2+'sv02'!$X$5*($B82-$R82/3600)^3+'sv02'!$W$5*($B82-$R82/3600)^4+'sv02'!$V$5*($B82-$R82/3600)^5+'sv02'!$U$5*($B82-$R82/3600)^6+'sv02'!$T$5*($B82-$R82/3600)^7+'sv02'!$S$5*($B82-$R82/3600)^8</f>
        <v>20877.651060422628</v>
      </c>
      <c r="W82">
        <f>coord!$B$6*P82/10^6</f>
        <v>77224.174091899244</v>
      </c>
      <c r="X82">
        <f>SQRT(($T82*1000+coord!$B$7*$R82*$U82*1000-coord!$B$2)^2+($U82*1000-coord!$B$7*$R82*$T82*1000-coord!$C$2)^2+($V82*1000-coord!$D$2)^2)</f>
        <v>22676364.27001318</v>
      </c>
      <c r="Y82" s="3">
        <f>$D82-(X82-$W82)-coord!$E$2</f>
        <v>-20.630944903939962</v>
      </c>
      <c r="Z82" s="3"/>
      <c r="AB82">
        <f>-(T82*1000-coord!$B$2)/$X82</f>
        <v>-0.13675940489603708</v>
      </c>
      <c r="AC82">
        <f>-(U82*1000-coord!$C$2)/$X82</f>
        <v>0.67891074031779808</v>
      </c>
      <c r="AD82">
        <f>-(V82*1000-coord!$D$2)/$X82</f>
        <v>-0.72137061264949953</v>
      </c>
      <c r="AE82">
        <v>1</v>
      </c>
      <c r="AG82">
        <f t="array" ref="AG82:AM85">TRANSPOSE(AB82:AE88)</f>
        <v>-0.13675940489603708</v>
      </c>
      <c r="AH82">
        <v>-0.19606606495979104</v>
      </c>
      <c r="AI82">
        <v>-0.15389985524557911</v>
      </c>
      <c r="AJ82">
        <v>-0.82223519438843862</v>
      </c>
      <c r="AK82">
        <v>-0.42470994292830427</v>
      </c>
      <c r="AL82">
        <v>-0.49430251334306385</v>
      </c>
      <c r="AM82">
        <v>-0.96761846798980311</v>
      </c>
      <c r="AO82">
        <f t="array" ref="AO82:AR85">MMULT(AG82:AM85,AB82:AE88)</f>
        <v>2.1178999269063059</v>
      </c>
      <c r="AP82">
        <v>0.32009398350745477</v>
      </c>
      <c r="AQ82">
        <v>1.1255341999861066</v>
      </c>
      <c r="AR82">
        <v>-3.1955914437510171</v>
      </c>
      <c r="AT82">
        <f t="array" ref="AT82:AW85">MINVERSE(AO82:AR85)</f>
        <v>2.5509133170324509</v>
      </c>
      <c r="AU82">
        <v>5.0121614383181703E-2</v>
      </c>
      <c r="AV82">
        <v>1.5542744834096469</v>
      </c>
      <c r="AW82">
        <v>1.9301628354901055</v>
      </c>
      <c r="AY82">
        <f t="array" ref="AY82:AY85">MMULT(AG82:AM85,Y82:Y88)</f>
        <v>-1.2896432241085227</v>
      </c>
      <c r="BA82">
        <f t="array" ref="BA82:BA85">MMULT(AT82:AW85,AY82:AY85)</f>
        <v>10.348540909457768</v>
      </c>
      <c r="BD82">
        <f>SQRT(($T82*1000+coord!$B$7*$R82*$U82*1000-coord!$B$2-BA$82)^2+($U82*1000-coord!$B$7*$R82*$T82*1000-coord!$C$2-BA$83)^2+($V82*1000-coord!$D$2-BA$84)^2)</f>
        <v>22676337.121094417</v>
      </c>
      <c r="BE82" s="3">
        <f>$D82-(BD82-$W82)-BA$85</f>
        <v>-3.4165050858489607</v>
      </c>
      <c r="BG82" s="1">
        <f>coord!$B$2+$BA82</f>
        <v>4388888.51934091</v>
      </c>
      <c r="BH82" s="1">
        <f>coord!$C$2+$BA83</f>
        <v>924547.29580641503</v>
      </c>
      <c r="BI82" s="1">
        <f>coord!$D$2+$BA84</f>
        <v>4519602.3791032638</v>
      </c>
      <c r="BJ82" s="1">
        <f>coord!$E$2+$BA85</f>
        <v>9.934478944712076</v>
      </c>
      <c r="BK82" s="8">
        <f>lat($BG82,$BH82,$BI82)</f>
        <v>45.411225751292413</v>
      </c>
      <c r="BL82" s="8">
        <f>lon($BG82,$BH82,$BI82)</f>
        <v>11.895792813268649</v>
      </c>
      <c r="BM82" s="6">
        <f>h($BG82,$BH82,$BI82)</f>
        <v>75.958534272387624</v>
      </c>
      <c r="BO82">
        <f>grado($BK82)</f>
        <v>45</v>
      </c>
      <c r="BP82">
        <f>MINUTOprimo($BK82)</f>
        <v>24</v>
      </c>
      <c r="BQ82">
        <f>MINUTOsecondo($BK82)</f>
        <v>40.412704652687239</v>
      </c>
      <c r="BR82">
        <f>grado($BL82)</f>
        <v>11</v>
      </c>
      <c r="BS82">
        <f>MINUTOprimo($BL82)</f>
        <v>53</v>
      </c>
      <c r="BT82">
        <f>MINUTOsecondo($BL82)</f>
        <v>44.854127767136447</v>
      </c>
      <c r="BV82">
        <f>-SIN(RADIANS(BK82))*COS(RADIANS(BL82))</f>
        <v>-0.69686926528525872</v>
      </c>
      <c r="BW82">
        <f>-SIN(RADIANS(BL82))</f>
        <v>-0.20613233364941008</v>
      </c>
      <c r="BX82">
        <f>COS(RADIANS(BK82))*COS(RADIANS(BL82))</f>
        <v>0.68693717916926866</v>
      </c>
      <c r="BZ82" t="s">
        <v>93</v>
      </c>
      <c r="CA82">
        <f t="array" ref="CA82:CC84">MINVERSE(BV82:BX84)</f>
        <v>-0.69686926528525872</v>
      </c>
      <c r="CB82">
        <v>-0.14679994534169669</v>
      </c>
      <c r="CC82">
        <v>0.70201353487554541</v>
      </c>
      <c r="CD82">
        <v>0</v>
      </c>
      <c r="CE82" s="1">
        <f t="array" ref="CE82:CE84">MMULT(CA82:CC84,BA82:BA84)</f>
        <v>6.0544548236910867</v>
      </c>
      <c r="CG82" s="1">
        <f t="array" ref="CG82:CI82">TRANSPOSE(CE82:CE84)</f>
        <v>6.0544548236910867</v>
      </c>
      <c r="CH82" s="1">
        <v>-24.558391366929076</v>
      </c>
      <c r="CI82" s="1">
        <v>13.837401962288185</v>
      </c>
      <c r="CK82">
        <f t="array" ref="CK82:CN85">MMULT(CA82:CD85,AT82:AW85)</f>
        <v>-0.69388921503340772</v>
      </c>
      <c r="CL82">
        <v>0.15121477222483753</v>
      </c>
      <c r="CM82">
        <v>0.62730116721491713</v>
      </c>
      <c r="CN82">
        <v>-5.7162489756250601E-3</v>
      </c>
      <c r="CP82">
        <f t="array" ref="CP82:CS85">TRANSPOSE(CA82:CD85)</f>
        <v>-0.69686926528525872</v>
      </c>
      <c r="CQ82">
        <v>-0.20613233364941003</v>
      </c>
      <c r="CR82">
        <v>0.68693717916926866</v>
      </c>
      <c r="CS82">
        <v>0</v>
      </c>
      <c r="CU82" s="5">
        <f t="array" ref="CU82:CX85">MMULT(CK82:CN85,CP82:CS85)</f>
        <v>0.90172565700033203</v>
      </c>
      <c r="CV82" s="5">
        <v>0.29100030569872171</v>
      </c>
      <c r="CW82" s="5">
        <v>-8.0353007694604628E-3</v>
      </c>
      <c r="CX82" s="5">
        <v>-5.7162489756250601E-3</v>
      </c>
      <c r="CZ82" s="3">
        <f>SQRT(CU82+CV83)</f>
        <v>1.2054165414849616</v>
      </c>
      <c r="DA82" s="3">
        <f>CW84</f>
        <v>4.0946268681096054</v>
      </c>
      <c r="DB82" s="3">
        <f>CX85</f>
        <v>1.9878316581862587</v>
      </c>
      <c r="DC82" s="3">
        <f>BG89</f>
        <v>3.7488062239798676</v>
      </c>
      <c r="DD82">
        <v>6</v>
      </c>
      <c r="DE82" s="6">
        <f>DB82*DD82*DC82</f>
        <v>44.7119741545972</v>
      </c>
      <c r="DF82">
        <v>5.33</v>
      </c>
      <c r="DG82" s="6">
        <f>DC82*DF82*SQRT(0.5*(CU82+CV83)+SQRT((0.5*(CU82-CV83))^2+CV82^2))</f>
        <v>20.631828074680488</v>
      </c>
    </row>
    <row r="83" spans="1:111">
      <c r="A83">
        <v>24</v>
      </c>
      <c r="B83">
        <f t="shared" si="41"/>
        <v>0.45</v>
      </c>
      <c r="C83">
        <v>23</v>
      </c>
      <c r="D83">
        <f>tetto!D83*coord!$B$13-tetto!G83*coord!$B$14</f>
        <v>21103837.401720483</v>
      </c>
      <c r="E83" s="5">
        <f>90-DEGREES(ACOS((coord!$B$2*($T83*1000-coord!$B$2)+coord!$C$2*($U83*1000-coord!$C$2)+coord!$D$2*($V83*1000-coord!$D$2))/(SQRT(coord!$B$2^2+coord!$C$2^2+coord!$D$2^2)*SQRT(($T83*1000-coord!$B$2)^2+($U83*1000-coord!$C$2)^2+($V83*1000-coord!$D$2)^2))))</f>
        <v>51.639858596066631</v>
      </c>
      <c r="F83">
        <f>(coord!$C$2*($V83*1000-coord!$D$2)-coord!$D$2*($U83*1000-coord!$C$2))/(SQRT(coord!$B$2^2+coord!$C$2^2+coord!$D$2^2)*SQRT(($T83*1000-coord!$B$2)^2+($U83*1000-coord!$C$2)^2+($V83*1000-coord!$D$2)^2))</f>
        <v>-0.28904308540702972</v>
      </c>
      <c r="G83">
        <f>(-coord!$B$2*($V83*1000-coord!$D$2)+coord!$D$2*($T83*1000-coord!$B$2))/(SQRT(coord!$B$2^2+coord!$C$2^2+coord!$D$2^2)*SQRT(($T83*1000-coord!$B$2)^2+($U83*1000-coord!$C$2)^2+($V83*1000-coord!$D$2)^2))</f>
        <v>-0.41061816738277762</v>
      </c>
      <c r="H83">
        <f>(coord!$B$2*($U83*1000-coord!$C$2)-coord!$C$2*($T83*1000-coord!$B$2))/(SQRT(coord!$B$2^2+coord!$C$2^2+coord!$D$2^2)*SQRT(($T83*1000-coord!$B$2)^2+($U83*1000-coord!$C$2)^2+($V83*1000-coord!$D$2)^2))</f>
        <v>0.36468370888933677</v>
      </c>
      <c r="I83">
        <f t="shared" si="42"/>
        <v>0.51771695011595609</v>
      </c>
      <c r="J83">
        <f t="shared" si="43"/>
        <v>-0.34221853204964037</v>
      </c>
      <c r="K83">
        <f t="shared" si="44"/>
        <v>1.7401207172742517E-3</v>
      </c>
      <c r="L83">
        <f t="shared" si="45"/>
        <v>56.534708980765501</v>
      </c>
      <c r="M83" s="5">
        <f>'sv23'!$AA$3+'sv23'!$Z$3*($B83)+'sv23'!$Y$3*($B83)^2+'sv23'!$X$3*($B83)^3+'sv23'!$W$3*($B83)^4+'sv23'!$V$3*($B83)^5+'sv23'!$U$3*($B83)^6+'sv23'!$T$3*($B83)^7+'sv23'!$S$3*($B83)^8</f>
        <v>8548.18466857776</v>
      </c>
      <c r="N83" s="5">
        <f>'sv23'!$AA$4+'sv23'!$Z$4*($B83)+'sv23'!$Y$4*($B83)^2+'sv23'!$X$4*($B83)^3+'sv23'!$W$4*($B83)^4+'sv23'!$V$4*($B83)^5+'sv23'!$U$4*($B83)^6+'sv23'!$T$4*($B83)^7+'sv23'!$S$4*($B83)^8</f>
        <v>13025.419402208936</v>
      </c>
      <c r="O83" s="5">
        <f>'sv23'!$AA$5+'sv23'!$Z$5*($B83)+'sv23'!$Y$5*($B83)^2+'sv23'!$X$5*($B83)^3+'sv23'!$W$5*($B83)^4+'sv23'!$V$5*($B83)^5+'sv23'!$U$5*($B83)^6+'sv23'!$T$5*($B83)^7+'sv23'!$S$5*($B83)^8</f>
        <v>21441.119515026505</v>
      </c>
      <c r="P83" s="5">
        <f>'sv23'!$AA$6+'sv23'!$Z$6*$B83+'sv23'!$Y$6*$B83^2+'sv23'!$X$6*$B83^3+'sv23'!$W$6*$B83^4+'sv23'!$V$6*$B83^5+'sv23'!$U$6*$B83^6+'sv23'!$T$6*$B83^7+'sv23'!$S$6*$B83^8</f>
        <v>370.05659616365114</v>
      </c>
      <c r="R83">
        <f>SQRT(($M83*1000-coord!$B$2)^2+($N83*1000-coord!$C$2)^2+($O83*1000-coord!$D$2)^2)/coord!$B$6</f>
        <v>7.0765023445066438E-2</v>
      </c>
      <c r="T83" s="5">
        <f>'sv23'!$AA$3+'sv23'!$Z$3*($B83-$R83/3600)+'sv23'!$Y$3*($B83-$R83/3600)^2+'sv23'!$X$3*($B83-$R83/3600)^3+'sv23'!$W$3*($B83-$R83/3600)^4+'sv23'!$V$3*($B83-$R83/3600)^5+'sv23'!$U$3*($B83-$R83/3600)^6+'sv23'!$T$3*($B83-$R83/3600)^7+'sv23'!$S$3*($B83-$R83/3600)^8+N83*coord!$B$7*R83</f>
        <v>8548.3746956557334</v>
      </c>
      <c r="U83" s="5">
        <f>'sv23'!$AA$4+'sv23'!$Z$4*($B83-$R83/3600)+'sv23'!$Y$4*($B83-$R83/3600)^2+'sv23'!$X$4*($B83-$R83/3600)^3+'sv23'!$W$4*($B83-$R83/3600)^4+'sv23'!$V$4*($B83-$R83/3600)^5+'sv23'!$U$4*($B83-$R83/3600)^6+'sv23'!$T$4*($B83-$R83/3600)^7+'sv23'!$S$4*($B83-$R83/3600)^8-M83*coord!$B$7*R83</f>
        <v>13025.225935158005</v>
      </c>
      <c r="V83" s="5">
        <f>'sv23'!$AA$5+'sv23'!$Z$5*($B83-$R83/3600)+'sv23'!$Y$5*($B83-$R83/3600)^2+'sv23'!$X$5*($B83-$R83/3600)^3+'sv23'!$W$5*($B83-$R83/3600)^4+'sv23'!$V$5*($B83-$R83/3600)^5+'sv23'!$U$5*($B83-$R83/3600)^6+'sv23'!$T$5*($B83-$R83/3600)^7+'sv23'!$S$5*($B83-$R83/3600)^8</f>
        <v>21441.163424335107</v>
      </c>
      <c r="W83">
        <f>coord!$B$6*P83/10^6</f>
        <v>110940.17656301435</v>
      </c>
      <c r="X83">
        <f>SQRT(($T83*1000+coord!$B$7*$R83*$U83*1000-coord!$B$2)^2+($U83*1000-coord!$B$7*$R83*$T83*1000-coord!$C$2)^2+($V83*1000-coord!$D$2)^2)</f>
        <v>21214770.264853109</v>
      </c>
      <c r="Y83" s="3">
        <f>$D83-(X83-$W83)-coord!$E$2</f>
        <v>7.3134303875267506</v>
      </c>
      <c r="Z83" s="3"/>
      <c r="AB83">
        <f>-(T83*1000-coord!$B$2)/$X83</f>
        <v>-0.19606606495979104</v>
      </c>
      <c r="AC83">
        <f>-(U83*1000-coord!$C$2)/$X83</f>
        <v>-0.57038825171750174</v>
      </c>
      <c r="AD83">
        <f>-(V83*1000-coord!$D$2)/$X83</f>
        <v>-0.79763178855013972</v>
      </c>
      <c r="AE83">
        <v>1</v>
      </c>
      <c r="AG83">
        <v>0.67891074031779808</v>
      </c>
      <c r="AH83">
        <v>-0.57038825171750174</v>
      </c>
      <c r="AI83">
        <v>0.76536172982290729</v>
      </c>
      <c r="AJ83">
        <v>0.37645136564054149</v>
      </c>
      <c r="AK83">
        <v>-0.90440707437143675</v>
      </c>
      <c r="AL83">
        <v>-0.20303494458355154</v>
      </c>
      <c r="AM83">
        <v>-0.2521209560161049</v>
      </c>
      <c r="AO83">
        <v>0.32009398350745477</v>
      </c>
      <c r="AP83">
        <v>2.436497080543973</v>
      </c>
      <c r="AQ83">
        <v>-0.46827412375987976</v>
      </c>
      <c r="AR83">
        <v>-0.10922739090734807</v>
      </c>
      <c r="AT83">
        <v>5.0121614383181225E-2</v>
      </c>
      <c r="AU83">
        <v>0.48368535800997886</v>
      </c>
      <c r="AV83">
        <v>0.36630058561333578</v>
      </c>
      <c r="AW83">
        <v>0.21068437091591297</v>
      </c>
      <c r="AY83">
        <v>-60.215688484737711</v>
      </c>
      <c r="BA83">
        <v>-22.917393584912141</v>
      </c>
      <c r="BD83">
        <f>SQRT(($T83*1000+coord!$B$7*$R83*$U83*1000-coord!$B$2-BA$82)^2+($U83*1000-coord!$B$7*$R83*$T83*1000-coord!$C$2-BA$83)^2+($V83*1000-coord!$D$2-BA$84)^2)</f>
        <v>21214770.057167172</v>
      </c>
      <c r="BE83" s="3">
        <f t="shared" ref="BE83:BE88" si="46">$D83-(BD83-$W83)-BA$85</f>
        <v>-2.4133626209429835</v>
      </c>
      <c r="BG83" s="1"/>
      <c r="BH83" s="1"/>
      <c r="BI83" s="1"/>
      <c r="BV83">
        <f>-SIN(RADIANS(BK82))*SIN(RADIANS(BL82))</f>
        <v>-0.14679994534169666</v>
      </c>
      <c r="BW83">
        <f>COS(RADIANS(BL82))</f>
        <v>0.97852412388466348</v>
      </c>
      <c r="BX83">
        <f>COS(RADIANS(BK82))*SIN(RADIANS(BL82))</f>
        <v>0.14470768819736768</v>
      </c>
      <c r="BZ83" t="s">
        <v>94</v>
      </c>
      <c r="CA83">
        <v>-0.20613233364941003</v>
      </c>
      <c r="CB83">
        <v>0.97852412388466348</v>
      </c>
      <c r="CC83">
        <v>2.8364733109942628E-17</v>
      </c>
      <c r="CD83">
        <v>0</v>
      </c>
      <c r="CE83" s="1">
        <v>-24.558391366929076</v>
      </c>
      <c r="CG83" s="1"/>
      <c r="CH83" s="1"/>
      <c r="CI83" s="1"/>
      <c r="CK83">
        <v>-0.47678050617526896</v>
      </c>
      <c r="CL83">
        <v>0.46296610584347331</v>
      </c>
      <c r="CM83">
        <v>3.804773321876688E-2</v>
      </c>
      <c r="CN83">
        <v>-0.19170923013625246</v>
      </c>
      <c r="CP83">
        <v>-0.14679994534169669</v>
      </c>
      <c r="CQ83">
        <v>0.97852412388466348</v>
      </c>
      <c r="CR83">
        <v>0.14470768819736771</v>
      </c>
      <c r="CS83">
        <v>0</v>
      </c>
      <c r="CU83" s="5">
        <v>0.2910003056987216</v>
      </c>
      <c r="CV83" s="5">
        <v>0.55130338148523417</v>
      </c>
      <c r="CW83" s="5">
        <v>-0.23342729034519299</v>
      </c>
      <c r="CX83" s="5">
        <v>-0.19170923013625246</v>
      </c>
    </row>
    <row r="84" spans="1:111">
      <c r="A84">
        <v>24</v>
      </c>
      <c r="B84">
        <f t="shared" si="41"/>
        <v>0.45</v>
      </c>
      <c r="C84">
        <v>10</v>
      </c>
      <c r="D84">
        <f>tetto!D84*coord!$B$13-tetto!G84*coord!$B$14</f>
        <v>22925647.600978531</v>
      </c>
      <c r="E84" s="5">
        <f>90-DEGREES(ACOS((coord!$B$2*($T84*1000-coord!$B$2)+coord!$C$2*($U84*1000-coord!$C$2)+coord!$D$2*($V84*1000-coord!$D$2))/(SQRT(coord!$B$2^2+coord!$C$2^2+coord!$D$2^2)*SQRT(($T84*1000-coord!$B$2)^2+($U84*1000-coord!$C$2)^2+($V84*1000-coord!$D$2)^2))))</f>
        <v>26.009525483624039</v>
      </c>
      <c r="F84">
        <f>(coord!$C$2*($V84*1000-coord!$D$2)-coord!$D$2*($U84*1000-coord!$C$2))/(SQRT(coord!$B$2^2+coord!$C$2^2+coord!$D$2^2)*SQRT(($T84*1000-coord!$B$2)^2+($U84*1000-coord!$C$2)^2+($V84*1000-coord!$D$2)^2))</f>
        <v>0.63399722945374193</v>
      </c>
      <c r="G84">
        <f>(-coord!$B$2*($V84*1000-coord!$D$2)+coord!$D$2*($T84*1000-coord!$B$2))/(SQRT(coord!$B$2^2+coord!$C$2^2+coord!$D$2^2)*SQRT(($T84*1000-coord!$B$2)^2+($U84*1000-coord!$C$2)^2+($V84*1000-coord!$D$2)^2))</f>
        <v>-0.3215079330729308</v>
      </c>
      <c r="H84">
        <f>(coord!$B$2*($U84*1000-coord!$C$2)-coord!$C$2*($T84*1000-coord!$B$2))/(SQRT(coord!$B$2^2+coord!$C$2^2+coord!$D$2^2)*SQRT(($T84*1000-coord!$B$2)^2+($U84*1000-coord!$C$2)^2+($V84*1000-coord!$D$2)^2))</f>
        <v>-0.54989078465458219</v>
      </c>
      <c r="I84">
        <f t="shared" si="42"/>
        <v>-0.78064650346682485</v>
      </c>
      <c r="J84">
        <f t="shared" si="43"/>
        <v>-0.44529078502764985</v>
      </c>
      <c r="K84">
        <f t="shared" si="44"/>
        <v>-2.6203866815709964E-3</v>
      </c>
      <c r="L84">
        <f t="shared" si="45"/>
        <v>-60.299009801149055</v>
      </c>
      <c r="M84" s="5">
        <f>'sv10'!$AA$3+'sv10'!$Z$3*($B84)+'sv10'!$Y$3*($B84)^2+'sv10'!$X$3*($B84)^3+'sv10'!$W$3*($B84)^4+'sv10'!$V$3*($B84)^5+'sv10'!$U$3*($B84)^6+'sv10'!$T$3*($B84)^7+'sv10'!$S$3*($B84)^8</f>
        <v>7915.3225557644246</v>
      </c>
      <c r="N84" s="5">
        <f>'sv10'!$AA$4+'sv10'!$Z$4*($B84)+'sv10'!$Y$4*($B84)^2+'sv10'!$X$4*($B84)^3+'sv10'!$W$4*($B84)^4+'sv10'!$V$4*($B84)^5+'sv10'!$U$4*($B84)^6+'sv10'!$T$4*($B84)^7+'sv10'!$S$4*($B84)^8</f>
        <v>-16611.775035929335</v>
      </c>
      <c r="O84" s="5">
        <f>'sv10'!$AA$5+'sv10'!$Z$5*($B84)+'sv10'!$Y$5*($B84)^2+'sv10'!$X$5*($B84)^3+'sv10'!$W$5*($B84)^4+'sv10'!$V$5*($B84)^5+'sv10'!$U$5*($B84)^6+'sv10'!$T$5*($B84)^7+'sv10'!$S$5*($B84)^8</f>
        <v>18838.53066621254</v>
      </c>
      <c r="P84" s="5">
        <f>'sv10'!$AA$6+'sv10'!$Z$6*$B84+'sv10'!$Y$6*$B84^2+'sv10'!$X$6*$B84^3+'sv10'!$W$6*$B84^4+'sv10'!$V$6*$B84^5+'sv10'!$U$6*$B84^6+'sv10'!$T$6*$B84^7+'sv10'!$S$6*$B84^8</f>
        <v>-43.001419332258884</v>
      </c>
      <c r="R84">
        <f>SQRT(($M84*1000-coord!$B$2)^2+($N84*1000-coord!$C$2)^2+($O84*1000-coord!$D$2)^2)/coord!$B$6</f>
        <v>7.6428504382353921E-2</v>
      </c>
      <c r="T84" s="5">
        <f>'sv10'!$AA$3+'sv10'!$Z$3*($B84-$R84/3600)+'sv10'!$Y$3*($B84-$R84/3600)^2+'sv10'!$X$3*($B84-$R84/3600)^3+'sv10'!$W$3*($B84-$R84/3600)^4+'sv10'!$V$3*($B84-$R84/3600)^5+'sv10'!$U$3*($B84-$R84/3600)^6+'sv10'!$T$3*($B84-$R84/3600)^7+'sv10'!$S$3*($B84-$R84/3600)^8+N84*coord!$B$7*R84</f>
        <v>7915.150509577692</v>
      </c>
      <c r="U84" s="5">
        <f>'sv10'!$AA$4+'sv10'!$Z$4*($B84-$R84/3600)+'sv10'!$Y$4*($B84-$R84/3600)^2+'sv10'!$X$4*($B84-$R84/3600)^3+'sv10'!$W$4*($B84-$R84/3600)^4+'sv10'!$V$4*($B84-$R84/3600)^5+'sv10'!$U$4*($B84-$R84/3600)^6+'sv10'!$T$4*($B84-$R84/3600)^7+'sv10'!$S$4*($B84-$R84/3600)^8-M84*coord!$B$7*R84</f>
        <v>-16611.988822069721</v>
      </c>
      <c r="V84" s="5">
        <f>'sv10'!$AA$5+'sv10'!$Z$5*($B84-$R84/3600)+'sv10'!$Y$5*($B84-$R84/3600)^2+'sv10'!$X$5*($B84-$R84/3600)^3+'sv10'!$W$5*($B84-$R84/3600)^4+'sv10'!$V$5*($B84-$R84/3600)^5+'sv10'!$U$5*($B84-$R84/3600)^6+'sv10'!$T$5*($B84-$R84/3600)^7+'sv10'!$S$5*($B84-$R84/3600)^8</f>
        <v>18838.412959953526</v>
      </c>
      <c r="W84">
        <f>coord!$B$6*P84/10^6</f>
        <v>-12891.501199106609</v>
      </c>
      <c r="X84">
        <f>SQRT(($T84*1000+coord!$B$7*$R84*$U84*1000-coord!$B$2)^2+($U84*1000-coord!$B$7*$R84*$T84*1000-coord!$C$2)^2+($V84*1000-coord!$D$2)^2)</f>
        <v>22912772.290466376</v>
      </c>
      <c r="Y84" s="3">
        <f>$D84-(X84-$W84)-coord!$E$2</f>
        <v>-16.190686952322721</v>
      </c>
      <c r="Z84" s="3"/>
      <c r="AB84">
        <f>-(T84*1000-coord!$B$2)/$X84</f>
        <v>-0.15389985524557911</v>
      </c>
      <c r="AC84">
        <f>-(U84*1000-coord!$C$2)/$X84</f>
        <v>0.76536172982290729</v>
      </c>
      <c r="AD84">
        <f>-(V84*1000-coord!$D$2)/$X84</f>
        <v>-0.62492763879172109</v>
      </c>
      <c r="AE84">
        <v>1</v>
      </c>
      <c r="AG84">
        <v>-0.72137061264949953</v>
      </c>
      <c r="AH84">
        <v>-0.79763178855013972</v>
      </c>
      <c r="AI84">
        <v>-0.62492763879172109</v>
      </c>
      <c r="AJ84">
        <v>-0.42686353885172323</v>
      </c>
      <c r="AK84">
        <v>-4.0878455635870121E-2</v>
      </c>
      <c r="AL84">
        <v>-0.84524673778513115</v>
      </c>
      <c r="AM84">
        <v>1.2232210943842591E-2</v>
      </c>
      <c r="AO84">
        <v>1.1255341999861066</v>
      </c>
      <c r="AP84">
        <v>-0.46827412375987976</v>
      </c>
      <c r="AQ84">
        <v>2.4456017882829766</v>
      </c>
      <c r="AR84">
        <v>-3.4446865613202426</v>
      </c>
      <c r="AT84">
        <v>1.5542744834096449</v>
      </c>
      <c r="AU84">
        <v>0.36630058561333589</v>
      </c>
      <c r="AV84">
        <v>2.5130572315527413</v>
      </c>
      <c r="AW84">
        <v>1.9519329672910215</v>
      </c>
      <c r="AY84">
        <v>22.652825085732946</v>
      </c>
      <c r="BA84">
        <v>14.104803264449195</v>
      </c>
      <c r="BD84">
        <f>SQRT(($T84*1000+coord!$B$7*$R84*$U84*1000-coord!$B$2-BA$82)^2+($U84*1000-coord!$B$7*$R84*$T84*1000-coord!$C$2-BA$83)^2+($V84*1000-coord!$D$2-BA$84)^2)</f>
        <v>22912744.343248818</v>
      </c>
      <c r="BE84" s="3">
        <f t="shared" si="46"/>
        <v>1.8220516605444814</v>
      </c>
      <c r="BG84" s="1"/>
      <c r="BH84" s="1"/>
      <c r="BI84" s="1"/>
      <c r="BV84">
        <f>COS(RADIANS(BK82))</f>
        <v>0.7020135348755453</v>
      </c>
      <c r="BW84">
        <v>0</v>
      </c>
      <c r="BX84">
        <f>SIN(RADIANS(BK82))</f>
        <v>0.7121636025882967</v>
      </c>
      <c r="BZ84" t="s">
        <v>95</v>
      </c>
      <c r="CA84">
        <v>0.68693717916926866</v>
      </c>
      <c r="CB84">
        <v>0.14470768819736771</v>
      </c>
      <c r="CC84">
        <v>0.71216360258829681</v>
      </c>
      <c r="CD84">
        <v>0</v>
      </c>
      <c r="CE84" s="1">
        <v>13.837401962288185</v>
      </c>
      <c r="CG84" s="1"/>
      <c r="CH84" s="1"/>
      <c r="CI84" s="1"/>
      <c r="CK84">
        <v>2.8664678967697812</v>
      </c>
      <c r="CL84">
        <v>0.36528933505292904</v>
      </c>
      <c r="CM84">
        <v>2.9104033317508149</v>
      </c>
      <c r="CN84">
        <v>2.7464838758003265</v>
      </c>
      <c r="CP84">
        <v>0.70201353487554541</v>
      </c>
      <c r="CQ84">
        <v>2.8364733109942628E-17</v>
      </c>
      <c r="CR84">
        <v>0.71216360258829681</v>
      </c>
      <c r="CS84">
        <v>0</v>
      </c>
      <c r="CU84" s="5">
        <v>-8.0353007694586864E-3</v>
      </c>
      <c r="CV84" s="5">
        <v>-0.23342729034519236</v>
      </c>
      <c r="CW84" s="5">
        <v>4.0946268681096054</v>
      </c>
      <c r="CX84" s="5">
        <v>2.7464838758003265</v>
      </c>
    </row>
    <row r="85" spans="1:111">
      <c r="A85">
        <v>24</v>
      </c>
      <c r="B85">
        <f t="shared" si="41"/>
        <v>0.45</v>
      </c>
      <c r="C85">
        <v>4</v>
      </c>
      <c r="D85">
        <f>tetto!D85*coord!$B$13-tetto!G85*coord!$B$14</f>
        <v>21152896.302502781</v>
      </c>
      <c r="E85" s="5">
        <f>90-DEGREES(ACOS((coord!$B$2*($T85*1000-coord!$B$2)+coord!$C$2*($U85*1000-coord!$C$2)+coord!$D$2*($V85*1000-coord!$D$2))/(SQRT(coord!$B$2^2+coord!$C$2^2+coord!$D$2^2)*SQRT(($T85*1000-coord!$B$2)^2+($U85*1000-coord!$C$2)^2+($V85*1000-coord!$D$2)^2))))</f>
        <v>54.594433259242756</v>
      </c>
      <c r="F85">
        <f>(coord!$C$2*($V85*1000-coord!$D$2)-coord!$D$2*($U85*1000-coord!$C$2))/(SQRT(coord!$B$2^2+coord!$C$2^2+coord!$D$2^2)*SQRT(($T85*1000-coord!$B$2)^2+($U85*1000-coord!$C$2)^2+($V85*1000-coord!$D$2)^2))</f>
        <v>0.32918810085932371</v>
      </c>
      <c r="G85">
        <f>(-coord!$B$2*($V85*1000-coord!$D$2)+coord!$D$2*($T85*1000-coord!$B$2))/(SQRT(coord!$B$2^2+coord!$C$2^2+coord!$D$2^2)*SQRT(($T85*1000-coord!$B$2)^2+($U85*1000-coord!$C$2)^2+($V85*1000-coord!$D$2)^2))</f>
        <v>0.28939819670933359</v>
      </c>
      <c r="H85">
        <f>(coord!$B$2*($U85*1000-coord!$C$2)-coord!$C$2*($T85*1000-coord!$B$2))/(SQRT(coord!$B$2^2+coord!$C$2^2+coord!$D$2^2)*SQRT(($T85*1000-coord!$B$2)^2+($U85*1000-coord!$C$2)^2+($V85*1000-coord!$D$2)^2))</f>
        <v>-0.37886978159422008</v>
      </c>
      <c r="I85">
        <f t="shared" si="42"/>
        <v>-0.53785647687297478</v>
      </c>
      <c r="J85">
        <f t="shared" si="43"/>
        <v>0.21532667587771059</v>
      </c>
      <c r="K85">
        <f t="shared" si="44"/>
        <v>-1.8073053092778624E-3</v>
      </c>
      <c r="L85">
        <f t="shared" si="45"/>
        <v>248.18168744012127</v>
      </c>
      <c r="M85" s="5">
        <f>'sv04'!$AA$3+'sv04'!$Z$3*($B85)+'sv04'!$Y$3*($B85)^2+'sv04'!$X$3*($B85)^3+'sv04'!$W$3*($B85)^4+'sv04'!$V$3*($B85)^5+'sv04'!$U$3*($B85)^6+'sv04'!$T$3*($B85)^7+'sv04'!$S$3*($B85)^8</f>
        <v>21803.04405879102</v>
      </c>
      <c r="N85" s="5">
        <f>'sv04'!$AA$4+'sv04'!$Z$4*($B85)+'sv04'!$Y$4*($B85)^2+'sv04'!$X$4*($B85)^3+'sv04'!$W$4*($B85)^4+'sv04'!$V$4*($B85)^5+'sv04'!$U$4*($B85)^6+'sv04'!$T$4*($B85)^7+'sv04'!$S$4*($B85)^8</f>
        <v>-7048.0968309088785</v>
      </c>
      <c r="O85" s="5">
        <f>'sv04'!$AA$5+'sv04'!$Z$5*($B85)+'sv04'!$Y$5*($B85)^2+'sv04'!$X$5*($B85)^3+'sv04'!$W$5*($B85)^4+'sv04'!$V$5*($B85)^5+'sv04'!$U$5*($B85)^6+'sv04'!$T$5*($B85)^7+'sv04'!$S$5*($B85)^8</f>
        <v>13559.904814490923</v>
      </c>
      <c r="P85" s="5">
        <f>'sv04'!$AA$6+'sv04'!$Z$6*$B85+'sv04'!$Y$6*$B85^2+'sv04'!$X$6*$B85^3+'sv04'!$W$6*$B85^4+'sv04'!$V$6*$B85^5+'sv04'!$U$6*$B85^6+'sv04'!$T$6*$B85^7+'sv04'!$S$6*$B85^8</f>
        <v>86.600783912842701</v>
      </c>
      <c r="R85">
        <f>SQRT(($M85*1000-coord!$B$2)^2+($N85*1000-coord!$C$2)^2+($O85*1000-coord!$D$2)^2)/coord!$B$6</f>
        <v>7.064505742482978E-2</v>
      </c>
      <c r="T85" s="5">
        <f>'sv04'!$AA$3+'sv04'!$Z$3*($B85-$R85/3600)+'sv04'!$Y$3*($B85-$R85/3600)^2+'sv04'!$X$3*($B85-$R85/3600)^3+'sv04'!$W$3*($B85-$R85/3600)^4+'sv04'!$V$3*($B85-$R85/3600)^5+'sv04'!$U$3*($B85-$R85/3600)^6+'sv04'!$T$3*($B85-$R85/3600)^7+'sv04'!$S$3*($B85-$R85/3600)^8+N85*coord!$B$7*R85</f>
        <v>21802.888242808425</v>
      </c>
      <c r="U85" s="5">
        <f>'sv04'!$AA$4+'sv04'!$Z$4*($B85-$R85/3600)+'sv04'!$Y$4*($B85-$R85/3600)^2+'sv04'!$X$4*($B85-$R85/3600)^3+'sv04'!$W$4*($B85-$R85/3600)^4+'sv04'!$V$4*($B85-$R85/3600)^5+'sv04'!$U$4*($B85-$R85/3600)^6+'sv04'!$T$4*($B85-$R85/3600)^7+'sv04'!$S$4*($B85-$R85/3600)^8-M85*coord!$B$7*R85</f>
        <v>-7048.2433049097181</v>
      </c>
      <c r="V85" s="5">
        <f>'sv04'!$AA$5+'sv04'!$Z$5*($B85-$R85/3600)+'sv04'!$Y$5*($B85-$R85/3600)^2+'sv04'!$X$5*($B85-$R85/3600)^3+'sv04'!$W$5*($B85-$R85/3600)^4+'sv04'!$V$5*($B85-$R85/3600)^5+'sv04'!$U$5*($B85-$R85/3600)^6+'sv04'!$T$5*($B85-$R85/3600)^7+'sv04'!$S$5*($B85-$R85/3600)^8</f>
        <v>13560.074519194784</v>
      </c>
      <c r="W85">
        <f>coord!$B$6*P85/10^6</f>
        <v>25962.26187395797</v>
      </c>
      <c r="X85">
        <f>SQRT(($T85*1000+coord!$B$7*$R85*$U85*1000-coord!$B$2)^2+($U85*1000-coord!$B$7*$R85*$T85*1000-coord!$C$2)^2+($V85*1000-coord!$D$2)^2)</f>
        <v>21178867.300809961</v>
      </c>
      <c r="Y85" s="3">
        <f>$D85-(X85-$W85)-coord!$E$2</f>
        <v>-8.7364332228899002</v>
      </c>
      <c r="Z85" s="3"/>
      <c r="AB85">
        <f>-(T85*1000-coord!$B$2)/$X85</f>
        <v>-0.82223519438843862</v>
      </c>
      <c r="AC85">
        <f>-(U85*1000-coord!$C$2)/$X85</f>
        <v>0.37645136564054149</v>
      </c>
      <c r="AD85">
        <f>-(V85*1000-coord!$D$2)/$X85</f>
        <v>-0.42686353885172323</v>
      </c>
      <c r="AE85">
        <v>1</v>
      </c>
      <c r="AG85">
        <v>1</v>
      </c>
      <c r="AH85">
        <v>1</v>
      </c>
      <c r="AI85">
        <v>1</v>
      </c>
      <c r="AJ85">
        <v>1</v>
      </c>
      <c r="AK85">
        <v>1</v>
      </c>
      <c r="AL85">
        <v>1</v>
      </c>
      <c r="AM85">
        <v>1</v>
      </c>
      <c r="AO85">
        <v>-3.1955914437510171</v>
      </c>
      <c r="AP85">
        <v>-0.10922739090734807</v>
      </c>
      <c r="AQ85">
        <v>-3.4446865613202426</v>
      </c>
      <c r="AR85">
        <v>7</v>
      </c>
      <c r="AT85">
        <v>1.9301628354901046</v>
      </c>
      <c r="AU85">
        <v>0.21068437091591327</v>
      </c>
      <c r="AV85">
        <v>1.9519329672910226</v>
      </c>
      <c r="AW85">
        <v>1.9878316581862587</v>
      </c>
      <c r="AY85">
        <v>-9.6117753200232983</v>
      </c>
      <c r="BA85">
        <v>9.934478944712076</v>
      </c>
      <c r="BD85">
        <f>SQRT(($T85*1000+coord!$B$7*$R85*$U85*1000-coord!$B$2-BA$82)^2+($U85*1000-coord!$B$7*$R85*$T85*1000-coord!$C$2-BA$83)^2+($V85*1000-coord!$D$2-BA$84)^2)</f>
        <v>21178844.143668234</v>
      </c>
      <c r="BE85" s="3">
        <f t="shared" si="46"/>
        <v>4.4862295588620569</v>
      </c>
      <c r="BG85" s="1"/>
      <c r="BH85" s="1"/>
      <c r="BI85" s="1"/>
      <c r="CA85">
        <v>0</v>
      </c>
      <c r="CB85">
        <v>0</v>
      </c>
      <c r="CC85">
        <v>0</v>
      </c>
      <c r="CD85">
        <v>1</v>
      </c>
      <c r="CG85" s="1"/>
      <c r="CH85" s="1"/>
      <c r="CI85" s="1"/>
      <c r="CK85">
        <v>1.9301628354901046</v>
      </c>
      <c r="CL85">
        <v>0.21068437091591327</v>
      </c>
      <c r="CM85">
        <v>1.9519329672910226</v>
      </c>
      <c r="CN85">
        <v>1.9878316581862587</v>
      </c>
      <c r="CP85">
        <v>0</v>
      </c>
      <c r="CQ85">
        <v>0</v>
      </c>
      <c r="CR85">
        <v>0</v>
      </c>
      <c r="CS85">
        <v>1</v>
      </c>
      <c r="CU85" s="5">
        <v>-5.7162489756235058E-3</v>
      </c>
      <c r="CV85" s="5">
        <v>-0.19170923013625199</v>
      </c>
      <c r="CW85" s="5">
        <v>2.7464838758003269</v>
      </c>
      <c r="CX85" s="5">
        <v>1.9878316581862587</v>
      </c>
    </row>
    <row r="86" spans="1:111">
      <c r="A86">
        <v>24</v>
      </c>
      <c r="B86">
        <f t="shared" si="41"/>
        <v>0.45</v>
      </c>
      <c r="C86">
        <v>20</v>
      </c>
      <c r="D86">
        <f>tetto!D86*coord!$B$13-tetto!G86*coord!$B$14</f>
        <v>23042902.22609102</v>
      </c>
      <c r="E86" s="5">
        <f>90-DEGREES(ACOS((coord!$B$2*($T86*1000-coord!$B$2)+coord!$C$2*($U86*1000-coord!$C$2)+coord!$D$2*($V86*1000-coord!$D$2))/(SQRT(coord!$B$2^2+coord!$C$2^2+coord!$D$2^2)*SQRT(($T86*1000-coord!$B$2)^2+($U86*1000-coord!$C$2)^2+($V86*1000-coord!$D$2)^2))))</f>
        <v>26.941451217495718</v>
      </c>
      <c r="F86">
        <f>(coord!$C$2*($V86*1000-coord!$D$2)-coord!$D$2*($U86*1000-coord!$C$2))/(SQRT(coord!$B$2^2+coord!$C$2^2+coord!$D$2^2)*SQRT(($T86*1000-coord!$B$2)^2+($U86*1000-coord!$C$2)^2+($V86*1000-coord!$D$2)^2))</f>
        <v>-0.63601316507696315</v>
      </c>
      <c r="G86">
        <f>(-coord!$B$2*($V86*1000-coord!$D$2)+coord!$D$2*($T86*1000-coord!$B$2))/(SQRT(coord!$B$2^2+coord!$C$2^2+coord!$D$2^2)*SQRT(($T86*1000-coord!$B$2)^2+($U86*1000-coord!$C$2)^2+($V86*1000-coord!$D$2)^2))</f>
        <v>0.27328305027609356</v>
      </c>
      <c r="H86">
        <f>(coord!$B$2*($U86*1000-coord!$C$2)-coord!$C$2*($T86*1000-coord!$B$2))/(SQRT(coord!$B$2^2+coord!$C$2^2+coord!$D$2^2)*SQRT(($T86*1000-coord!$B$2)^2+($U86*1000-coord!$C$2)^2+($V86*1000-coord!$D$2)^2))</f>
        <v>0.56171376116847438</v>
      </c>
      <c r="I86">
        <f t="shared" si="42"/>
        <v>0.79743065806616609</v>
      </c>
      <c r="J86">
        <f t="shared" si="43"/>
        <v>0.39851712739725531</v>
      </c>
      <c r="K86">
        <f t="shared" si="44"/>
        <v>2.6769297072339882E-3</v>
      </c>
      <c r="L86">
        <f t="shared" si="45"/>
        <v>116.55365733752616</v>
      </c>
      <c r="M86" s="5">
        <f>'sv20'!$AA$3+'sv20'!$Z$3*($B86)+'sv20'!$Y$3*($B86)^2+'sv20'!$X$3*($B86)^3+'sv20'!$W$3*($B86)^4+'sv20'!$V$3*($B86)^5+'sv20'!$U$3*($B86)^6+'sv20'!$T$3*($B86)^7+'sv20'!$S$3*($B86)^8</f>
        <v>14182.39874892865</v>
      </c>
      <c r="N86" s="5">
        <f>'sv20'!$AA$4+'sv20'!$Z$4*($B86)+'sv20'!$Y$4*($B86)^2+'sv20'!$X$4*($B86)^3+'sv20'!$W$4*($B86)^4+'sv20'!$V$4*($B86)^5+'sv20'!$U$4*($B86)^6+'sv20'!$T$4*($B86)^7+'sv20'!$S$4*($B86)^8</f>
        <v>21779.981939628469</v>
      </c>
      <c r="O86" s="5">
        <f>'sv20'!$AA$5+'sv20'!$Z$5*($B86)+'sv20'!$Y$5*($B86)^2+'sv20'!$X$5*($B86)^3+'sv20'!$W$5*($B86)^4+'sv20'!$V$5*($B86)^5+'sv20'!$U$5*($B86)^6+'sv20'!$T$5*($B86)^7+'sv20'!$S$5*($B86)^8</f>
        <v>5461.9973609586759</v>
      </c>
      <c r="P86" s="5">
        <f>'sv20'!$AA$6+'sv20'!$Z$6*$B86+'sv20'!$Y$6*$B86^2+'sv20'!$X$6*$B86^3+'sv20'!$W$6*$B86^4+'sv20'!$V$6*$B86^5+'sv20'!$U$6*$B86^6+'sv20'!$T$6*$B86^7+'sv20'!$S$6*$B86^8</f>
        <v>55.817792163551189</v>
      </c>
      <c r="R86">
        <f>SQRT(($M86*1000-coord!$B$2)^2+($N86*1000-coord!$C$2)^2+($O86*1000-coord!$D$2)^2)/coord!$B$6</f>
        <v>7.6918851770675228E-2</v>
      </c>
      <c r="T86" s="5">
        <f>'sv20'!$AA$3+'sv20'!$Z$3*($B86-$R86/3600)+'sv20'!$Y$3*($B86-$R86/3600)^2+'sv20'!$X$3*($B86-$R86/3600)^3+'sv20'!$W$3*($B86-$R86/3600)^4+'sv20'!$V$3*($B86-$R86/3600)^5+'sv20'!$U$3*($B86-$R86/3600)^6+'sv20'!$T$3*($B86-$R86/3600)^7+'sv20'!$S$3*($B86-$R86/3600)^8+N86*coord!$B$7*R86</f>
        <v>14182.522426246005</v>
      </c>
      <c r="U86" s="5">
        <f>'sv20'!$AA$4+'sv20'!$Z$4*($B86-$R86/3600)+'sv20'!$Y$4*($B86-$R86/3600)^2+'sv20'!$X$4*($B86-$R86/3600)^3+'sv20'!$W$4*($B86-$R86/3600)^4+'sv20'!$V$4*($B86-$R86/3600)^5+'sv20'!$U$4*($B86-$R86/3600)^6+'sv20'!$T$4*($B86-$R86/3600)^7+'sv20'!$S$4*($B86-$R86/3600)^8-M86*coord!$B$7*R86</f>
        <v>21779.84166606962</v>
      </c>
      <c r="V86" s="5">
        <f>'sv20'!$AA$5+'sv20'!$Z$5*($B86-$R86/3600)+'sv20'!$Y$5*($B86-$R86/3600)^2+'sv20'!$X$5*($B86-$R86/3600)^3+'sv20'!$W$5*($B86-$R86/3600)^4+'sv20'!$V$5*($B86-$R86/3600)^5+'sv20'!$U$5*($B86-$R86/3600)^6+'sv20'!$T$5*($B86-$R86/3600)^7+'sv20'!$S$5*($B86-$R86/3600)^8</f>
        <v>5462.2293847232777</v>
      </c>
      <c r="W86">
        <f>coord!$B$6*P86/10^6</f>
        <v>16733.753112844148</v>
      </c>
      <c r="X86">
        <f>SQRT(($T86*1000+coord!$B$7*$R86*$U86*1000-coord!$B$2)^2+($U86*1000-coord!$B$7*$R86*$T86*1000-coord!$C$2)^2+($V86*1000-coord!$D$2)^2)</f>
        <v>23059606.723403886</v>
      </c>
      <c r="Y86" s="3">
        <f>$D86-(X86-$W86)-coord!$E$2</f>
        <v>29.255799978971481</v>
      </c>
      <c r="Z86" s="3"/>
      <c r="AB86">
        <f>-(T86*1000-coord!$B$2)/$X86</f>
        <v>-0.42470994292830427</v>
      </c>
      <c r="AC86">
        <f>-(U86*1000-coord!$C$2)/$X86</f>
        <v>-0.90440707437143675</v>
      </c>
      <c r="AD86">
        <f>-(V86*1000-coord!$D$2)/$X86</f>
        <v>-4.0878455635870121E-2</v>
      </c>
      <c r="AE86">
        <v>1</v>
      </c>
      <c r="BD86">
        <f>SQRT(($T86*1000+coord!$B$7*$R86*$U86*1000-coord!$B$2-BA$82)^2+($U86*1000-coord!$B$7*$R86*$T86*1000-coord!$C$2-BA$83)^2+($V86*1000-coord!$D$2-BA$84)^2)</f>
        <v>23059622.478224736</v>
      </c>
      <c r="BE86" s="3">
        <f t="shared" si="46"/>
        <v>3.5665001845129396</v>
      </c>
      <c r="BG86" s="1"/>
      <c r="BH86" s="1"/>
      <c r="BI86" s="1"/>
      <c r="CG86" s="1"/>
      <c r="CH86" s="1"/>
      <c r="CI86" s="1"/>
    </row>
    <row r="87" spans="1:111">
      <c r="A87">
        <v>24</v>
      </c>
      <c r="B87">
        <f t="shared" si="41"/>
        <v>0.45</v>
      </c>
      <c r="C87">
        <v>13</v>
      </c>
      <c r="D87">
        <f>tetto!D87*coord!$B$13-tetto!G87*coord!$B$14</f>
        <v>20135795.772340063</v>
      </c>
      <c r="E87" s="5">
        <f>90-DEGREES(ACOS((coord!$B$2*($T87*1000-coord!$B$2)+coord!$C$2*($U87*1000-coord!$C$2)+coord!$D$2*($V87*1000-coord!$D$2))/(SQRT(coord!$B$2^2+coord!$C$2^2+coord!$D$2^2)*SQRT(($T87*1000-coord!$B$2)^2+($U87*1000-coord!$C$2)^2+($V87*1000-coord!$D$2)^2))))</f>
        <v>75.965112840902663</v>
      </c>
      <c r="F87">
        <f>(coord!$C$2*($V87*1000-coord!$D$2)-coord!$D$2*($U87*1000-coord!$C$2))/(SQRT(coord!$B$2^2+coord!$C$2^2+coord!$D$2^2)*SQRT(($T87*1000-coord!$B$2)^2+($U87*1000-coord!$C$2)^2+($V87*1000-coord!$D$2)^2))</f>
        <v>-2.1381477895206145E-2</v>
      </c>
      <c r="G87">
        <f>(-coord!$B$2*($V87*1000-coord!$D$2)+coord!$D$2*($T87*1000-coord!$B$2))/(SQRT(coord!$B$2^2+coord!$C$2^2+coord!$D$2^2)*SQRT(($T87*1000-coord!$B$2)^2+($U87*1000-coord!$C$2)^2+($V87*1000-coord!$D$2)^2))</f>
        <v>-0.23174943844133164</v>
      </c>
      <c r="H87">
        <f>(coord!$B$2*($U87*1000-coord!$C$2)-coord!$C$2*($T87*1000-coord!$B$2))/(SQRT(coord!$B$2^2+coord!$C$2^2+coord!$D$2^2)*SQRT(($T87*1000-coord!$B$2)^2+($U87*1000-coord!$C$2)^2+($V87*1000-coord!$D$2)^2))</f>
        <v>6.8171990589146247E-2</v>
      </c>
      <c r="I87">
        <f t="shared" si="42"/>
        <v>9.677861366200316E-2</v>
      </c>
      <c r="J87">
        <f t="shared" si="43"/>
        <v>-0.22236497896204663</v>
      </c>
      <c r="K87">
        <f t="shared" si="44"/>
        <v>3.2585980372977497E-4</v>
      </c>
      <c r="L87">
        <f t="shared" si="45"/>
        <v>23.519839700864054</v>
      </c>
      <c r="M87" s="5">
        <f>'sv13'!$AA$3+'sv13'!$Z$3*($B87)+'sv13'!$Y$3*($B87)^2+'sv13'!$X$3*($B87)^3+'sv13'!$W$3*($B87)^4+'sv13'!$V$3*($B87)^5+'sv13'!$U$3*($B87)^6+'sv13'!$T$3*($B87)^7+'sv13'!$S$3*($B87)^8</f>
        <v>14386.988219761588</v>
      </c>
      <c r="N87" s="5">
        <f>'sv13'!$AA$4+'sv13'!$Z$4*($B87)+'sv13'!$Y$4*($B87)^2+'sv13'!$X$4*($B87)^3+'sv13'!$W$4*($B87)^4+'sv13'!$V$4*($B87)^5+'sv13'!$U$4*($B87)^6+'sv13'!$T$4*($B87)^7+'sv13'!$S$4*($B87)^8</f>
        <v>5031.5703109943242</v>
      </c>
      <c r="O87" s="5">
        <f>'sv13'!$AA$5+'sv13'!$Z$5*($B87)+'sv13'!$Y$5*($B87)^2+'sv13'!$X$5*($B87)^3+'sv13'!$W$5*($B87)^4+'sv13'!$V$5*($B87)^5+'sv13'!$U$5*($B87)^6+'sv13'!$T$5*($B87)^7+'sv13'!$S$5*($B87)^8</f>
        <v>21616.44138823789</v>
      </c>
      <c r="P87" s="5">
        <f>'sv13'!$AA$6+'sv13'!$Z$6*$B87+'sv13'!$Y$6*$B87^2+'sv13'!$X$6*$B87^3+'sv13'!$W$6*$B87^4+'sv13'!$V$6*$B87^5+'sv13'!$U$6*$B87^6+'sv13'!$T$6*$B87^7+'sv13'!$S$6*$B87^8</f>
        <v>304.21947998863862</v>
      </c>
      <c r="R87">
        <f>SQRT(($M87*1000-coord!$B$2)^2+($N87*1000-coord!$C$2)^2+($O87*1000-coord!$D$2)^2)/coord!$B$6</f>
        <v>6.7470051732473585E-2</v>
      </c>
      <c r="T87" s="5">
        <f>'sv13'!$AA$3+'sv13'!$Z$3*($B87-$R87/3600)+'sv13'!$Y$3*($B87-$R87/3600)^2+'sv13'!$X$3*($B87-$R87/3600)^3+'sv13'!$W$3*($B87-$R87/3600)^4+'sv13'!$V$3*($B87-$R87/3600)^5+'sv13'!$U$3*($B87-$R87/3600)^6+'sv13'!$T$3*($B87-$R87/3600)^7+'sv13'!$S$3*($B87-$R87/3600)^8+N87*coord!$B$7*R87</f>
        <v>14387.134909255734</v>
      </c>
      <c r="U87" s="5">
        <f>'sv13'!$AA$4+'sv13'!$Z$4*($B87-$R87/3600)+'sv13'!$Y$4*($B87-$R87/3600)^2+'sv13'!$X$4*($B87-$R87/3600)^3+'sv13'!$W$4*($B87-$R87/3600)^4+'sv13'!$V$4*($B87-$R87/3600)^5+'sv13'!$U$4*($B87-$R87/3600)^6+'sv13'!$T$4*($B87-$R87/3600)^7+'sv13'!$S$4*($B87-$R87/3600)^8-M87*coord!$B$7*R87</f>
        <v>5031.3579555791084</v>
      </c>
      <c r="V87" s="5">
        <f>'sv13'!$AA$5+'sv13'!$Z$5*($B87-$R87/3600)+'sv13'!$Y$5*($B87-$R87/3600)^2+'sv13'!$X$5*($B87-$R87/3600)^3+'sv13'!$W$5*($B87-$R87/3600)^4+'sv13'!$V$5*($B87-$R87/3600)^5+'sv13'!$U$5*($B87-$R87/3600)^6+'sv13'!$T$5*($B87-$R87/3600)^7+'sv13'!$S$5*($B87-$R87/3600)^8</f>
        <v>21616.393699306242</v>
      </c>
      <c r="W87">
        <f>coord!$B$6*P87/10^6</f>
        <v>91202.705677275793</v>
      </c>
      <c r="X87">
        <f>SQRT(($T87*1000+coord!$B$7*$R87*$U87*1000-coord!$B$2)^2+($U87*1000-coord!$B$7*$R87*$T87*1000-coord!$C$2)^2+($V87*1000-coord!$D$2)^2)</f>
        <v>20226999.597545199</v>
      </c>
      <c r="Y87" s="3">
        <f>$D87-(X87-$W87)-coord!$E$2</f>
        <v>-1.1195278614759445</v>
      </c>
      <c r="Z87" s="3"/>
      <c r="AB87">
        <f>-(T87*1000-coord!$B$2)/$X87</f>
        <v>-0.49430251334306385</v>
      </c>
      <c r="AC87">
        <f>-(U87*1000-coord!$C$2)/$X87</f>
        <v>-0.20303494458355154</v>
      </c>
      <c r="AD87">
        <f>-(V87*1000-coord!$D$2)/$X87</f>
        <v>-0.84524673778513115</v>
      </c>
      <c r="AE87">
        <v>1</v>
      </c>
      <c r="BD87">
        <f>SQRT(($T87*1000+coord!$B$7*$R87*$U87*1000-coord!$B$2-BA$82)^2+($U87*1000-coord!$B$7*$R87*$T87*1000-coord!$C$2-BA$83)^2+($V87*1000-coord!$D$2-BA$84)^2)</f>
        <v>20226987.213152099</v>
      </c>
      <c r="BE87" s="3">
        <f t="shared" si="46"/>
        <v>1.3303862935074235</v>
      </c>
      <c r="BG87" s="1"/>
      <c r="BH87" s="1"/>
      <c r="BI87" s="1"/>
      <c r="CG87" s="1"/>
      <c r="CH87" s="1"/>
      <c r="CI87" s="1"/>
    </row>
    <row r="88" spans="1:111">
      <c r="A88">
        <v>24</v>
      </c>
      <c r="B88">
        <f t="shared" si="41"/>
        <v>0.45</v>
      </c>
      <c r="C88">
        <v>7</v>
      </c>
      <c r="D88">
        <f>tetto!D88*coord!$B$13-tetto!G88*coord!$B$14</f>
        <v>21828970.486056246</v>
      </c>
      <c r="E88" s="5">
        <f>90-DEGREES(ACOS((coord!$B$2*($T88*1000-coord!$B$2)+coord!$C$2*($U88*1000-coord!$C$2)+coord!$D$2*($V88*1000-coord!$D$2))/(SQRT(coord!$B$2^2+coord!$C$2^2+coord!$D$2^2)*SQRT(($T88*1000-coord!$B$2)^2+($U88*1000-coord!$C$2)^2+($V88*1000-coord!$D$2)^2))))</f>
        <v>44.017663679000286</v>
      </c>
      <c r="F88">
        <f>(coord!$C$2*($V88*1000-coord!$D$2)-coord!$D$2*($U88*1000-coord!$C$2))/(SQRT(coord!$B$2^2+coord!$C$2^2+coord!$D$2^2)*SQRT(($T88*1000-coord!$B$2)^2+($U88*1000-coord!$C$2)^2+($V88*1000-coord!$D$2)^2))</f>
        <v>-0.18073196599782398</v>
      </c>
      <c r="G88">
        <f>(-coord!$B$2*($V88*1000-coord!$D$2)+coord!$D$2*($T88*1000-coord!$B$2))/(SQRT(coord!$B$2^2+coord!$C$2^2+coord!$D$2^2)*SQRT(($T88*1000-coord!$B$2)^2+($U88*1000-coord!$C$2)^2+($V88*1000-coord!$D$2)^2))</f>
        <v>0.695248262773843</v>
      </c>
      <c r="H88">
        <f>(coord!$B$2*($U88*1000-coord!$C$2)-coord!$C$2*($T88*1000-coord!$B$2))/(SQRT(coord!$B$2^2+coord!$C$2^2+coord!$D$2^2)*SQRT(($T88*1000-coord!$B$2)^2+($U88*1000-coord!$C$2)^2+($V88*1000-coord!$D$2)^2))</f>
        <v>3.3278417560540001E-2</v>
      </c>
      <c r="I88">
        <f t="shared" si="42"/>
        <v>4.7245871555740074E-2</v>
      </c>
      <c r="J88">
        <f t="shared" si="43"/>
        <v>0.71757191051164482</v>
      </c>
      <c r="K88">
        <f t="shared" si="44"/>
        <v>1.5609108054252113E-4</v>
      </c>
      <c r="L88">
        <f t="shared" si="45"/>
        <v>176.23300818514912</v>
      </c>
      <c r="M88" s="5">
        <f>'sv07'!$AA$3+'sv07'!$Z$3*($B88)+'sv07'!$Y$3*($B88)^2+'sv07'!$X$3*($B88)^3+'sv07'!$W$3*($B88)^4+'sv07'!$V$3*($B88)^5+'sv07'!$U$3*($B88)^6+'sv07'!$T$3*($B88)^7+'sv07'!$S$3*($B88)^8</f>
        <v>25510.73242797656</v>
      </c>
      <c r="N88" s="5">
        <f>'sv07'!$AA$4+'sv07'!$Z$4*($B88)+'sv07'!$Y$4*($B88)^2+'sv07'!$X$4*($B88)^3+'sv07'!$W$4*($B88)^4+'sv07'!$V$4*($B88)^5+'sv07'!$U$4*($B88)^6+'sv07'!$T$4*($B88)^7+'sv07'!$S$4*($B88)^8</f>
        <v>6428.2094316545736</v>
      </c>
      <c r="O88" s="5">
        <f>'sv07'!$AA$5+'sv07'!$Z$5*($B88)+'sv07'!$Y$5*($B88)^2+'sv07'!$X$5*($B88)^3+'sv07'!$W$5*($B88)^4+'sv07'!$V$5*($B88)^5+'sv07'!$U$5*($B88)^6+'sv07'!$T$5*($B88)^7+'sv07'!$S$5*($B88)^8</f>
        <v>4252.8018056477995</v>
      </c>
      <c r="P88" s="5">
        <f>'sv07'!$AA$6+'sv07'!$Z$6*$B88+'sv07'!$Y$6*$B88^2+'sv07'!$X$6*$B88^3+'sv07'!$W$6*$B88^4+'sv07'!$V$6*$B88^5+'sv07'!$U$6*$B88^6+'sv07'!$T$6*$B88^7+'sv07'!$S$6*$B88^8</f>
        <v>-0.63780361937466734</v>
      </c>
      <c r="R88">
        <f>SQRT(($M88*1000-coord!$B$2)^2+($N88*1000-coord!$C$2)^2+($O88*1000-coord!$D$2)^2)/coord!$B$6</f>
        <v>7.2812843424690091E-2</v>
      </c>
      <c r="T88" s="5">
        <f>'sv07'!$AA$3+'sv07'!$Z$3*($B88-$R88/3600)+'sv07'!$Y$3*($B88-$R88/3600)^2+'sv07'!$X$3*($B88-$R88/3600)^3+'sv07'!$W$3*($B88-$R88/3600)^4+'sv07'!$V$3*($B88-$R88/3600)^5+'sv07'!$U$3*($B88-$R88/3600)^6+'sv07'!$T$3*($B88-$R88/3600)^7+'sv07'!$S$3*($B88-$R88/3600)^8+N88*coord!$B$7*R88</f>
        <v>25510.80765272172</v>
      </c>
      <c r="U88" s="5">
        <f>'sv07'!$AA$4+'sv07'!$Z$4*($B88-$R88/3600)+'sv07'!$Y$4*($B88-$R88/3600)^2+'sv07'!$X$4*($B88-$R88/3600)^3+'sv07'!$W$4*($B88-$R88/3600)^4+'sv07'!$V$4*($B88-$R88/3600)^5+'sv07'!$U$4*($B88-$R88/3600)^6+'sv07'!$T$4*($B88-$R88/3600)^7+'sv07'!$S$4*($B88-$R88/3600)^8-M88*coord!$B$7*R88</f>
        <v>6428.0627880678185</v>
      </c>
      <c r="V88" s="5">
        <f>'sv07'!$AA$5+'sv07'!$Z$5*($B88-$R88/3600)+'sv07'!$Y$5*($B88-$R88/3600)^2+'sv07'!$X$5*($B88-$R88/3600)^3+'sv07'!$W$5*($B88-$R88/3600)^4+'sv07'!$V$5*($B88-$R88/3600)^5+'sv07'!$U$5*($B88-$R88/3600)^6+'sv07'!$T$5*($B88-$R88/3600)^7+'sv07'!$S$5*($B88-$R88/3600)^8</f>
        <v>4252.5740476073388</v>
      </c>
      <c r="W88">
        <f>coord!$B$6*P88/10^6</f>
        <v>-191.20871477362795</v>
      </c>
      <c r="X88">
        <f>SQRT(($T88*1000+coord!$B$7*$R88*$U88*1000-coord!$B$2)^2+($U88*1000-coord!$B$7*$R88*$T88*1000-coord!$C$2)^2+($V88*1000-coord!$D$2)^2)</f>
        <v>21828778.78075422</v>
      </c>
      <c r="Y88" s="3">
        <f>$D88-(X88-$W88)-coord!$E$2</f>
        <v>0.49658725410699844</v>
      </c>
      <c r="Z88" s="3" t="s">
        <v>127</v>
      </c>
      <c r="AA88" s="1" t="s">
        <v>128</v>
      </c>
      <c r="AB88">
        <f>-(T88*1000-coord!$B$2)/$X88</f>
        <v>-0.96761846798980311</v>
      </c>
      <c r="AC88">
        <f>-(U88*1000-coord!$C$2)/$X88</f>
        <v>-0.2521209560161049</v>
      </c>
      <c r="AD88">
        <f>-(V88*1000-coord!$D$2)/$X88</f>
        <v>1.2232210943842591E-2</v>
      </c>
      <c r="AE88">
        <v>1</v>
      </c>
      <c r="BD88">
        <f>SQRT(($T88*1000+coord!$B$7*$R88*$U88*1000-coord!$B$2-BA$82)^2+($U88*1000-coord!$B$7*$R88*$T88*1000-coord!$C$2-BA$83)^2+($V88*1000-coord!$D$2-BA$84)^2)</f>
        <v>21828774.717663303</v>
      </c>
      <c r="BE88" s="3">
        <f t="shared" si="46"/>
        <v>-5.3748007738820647</v>
      </c>
      <c r="BF88" s="3" t="s">
        <v>127</v>
      </c>
      <c r="BG88" s="1" t="s">
        <v>128</v>
      </c>
      <c r="BH88" s="1"/>
      <c r="BI88" s="1"/>
      <c r="CG88" s="1"/>
      <c r="CH88" s="1"/>
      <c r="CI88" s="1"/>
    </row>
    <row r="89" spans="1:111">
      <c r="Y89" s="3"/>
      <c r="Z89" s="3">
        <f>AVERAGE($Y82:$Y88)</f>
        <v>-1.3731107600033283</v>
      </c>
      <c r="AA89" s="1">
        <f>SQRT(DEVSQ($Y82:$Y88)/6)</f>
        <v>16.642262981824445</v>
      </c>
      <c r="BE89" s="3"/>
      <c r="BF89" s="3">
        <f>AVERAGE($BE82:$BE88)</f>
        <v>7.1316678984650086E-5</v>
      </c>
      <c r="BG89" s="1">
        <f>SQRT(DEVSQ($BE82:$BE88)/6)</f>
        <v>3.7488062239798676</v>
      </c>
      <c r="BH89" s="1"/>
      <c r="BI89" s="1"/>
      <c r="CG89" s="1"/>
      <c r="CH89" s="1"/>
      <c r="CI89" s="1"/>
    </row>
    <row r="90" spans="1:111">
      <c r="A90">
        <v>26</v>
      </c>
      <c r="B90">
        <f t="shared" si="41"/>
        <v>0.46666666666666667</v>
      </c>
      <c r="C90">
        <v>2</v>
      </c>
      <c r="D90">
        <f>tetto!D90*coord!$B$13-tetto!G90*coord!$B$14</f>
        <v>22573599.868256755</v>
      </c>
      <c r="E90" s="5">
        <f>90-DEGREES(ACOS((coord!$B$2*($T90*1000-coord!$B$2)+coord!$C$2*($U90*1000-coord!$C$2)+coord!$D$2*($V90*1000-coord!$D$2))/(SQRT(coord!$B$2^2+coord!$C$2^2+coord!$D$2^2)*SQRT(($T90*1000-coord!$B$2)^2+($U90*1000-coord!$C$2)^2+($V90*1000-coord!$D$2)^2))))</f>
        <v>30.790945559673574</v>
      </c>
      <c r="F90">
        <f>(coord!$C$2*($V90*1000-coord!$D$2)-coord!$D$2*($U90*1000-coord!$C$2))/(SQRT(coord!$B$2^2+coord!$C$2^2+coord!$D$2^2)*SQRT(($T90*1000-coord!$B$2)^2+($U90*1000-coord!$C$2)^2+($V90*1000-coord!$D$2)^2))</f>
        <v>0.58625804218230448</v>
      </c>
      <c r="G90">
        <f>(-coord!$B$2*($V90*1000-coord!$D$2)+coord!$D$2*($T90*1000-coord!$B$2))/(SQRT(coord!$B$2^2+coord!$C$2^2+coord!$D$2^2)*SQRT(($T90*1000-coord!$B$2)^2+($U90*1000-coord!$C$2)^2+($V90*1000-coord!$D$2)^2))</f>
        <v>-0.39431679643130735</v>
      </c>
      <c r="H90">
        <f>(coord!$B$2*($U90*1000-coord!$C$2)-coord!$C$2*($T90*1000-coord!$B$2))/(SQRT(coord!$B$2^2+coord!$C$2^2+coord!$D$2^2)*SQRT(($T90*1000-coord!$B$2)^2+($U90*1000-coord!$C$2)^2+($V90*1000-coord!$D$2)^2))</f>
        <v>-0.48863777521572449</v>
      </c>
      <c r="I90">
        <f t="shared" ref="I90:I96" si="47">$F90*$CA$2+$G90*$CB$2+$H90*$CC$2</f>
        <v>-0.6936897373056512</v>
      </c>
      <c r="J90">
        <f t="shared" ref="J90:J96" si="48">$F90*$CA$3+$G90*$CB$3+$H90*$CC$3</f>
        <v>-0.50669540322951789</v>
      </c>
      <c r="K90">
        <f t="shared" ref="K90:K96" si="49">$F90*$CA$4+$G90*$CB$4+$H90*$CC$4</f>
        <v>-2.328098353526542E-3</v>
      </c>
      <c r="L90">
        <f t="shared" ref="L90:L96" si="50">90+DEGREES(ATAN2(I90,J90))</f>
        <v>-53.854292527937872</v>
      </c>
      <c r="M90" s="5">
        <f>'sv02'!$AA$3+'sv02'!$Z$3*($B90)+'sv02'!$Y$3*($B90)^2+'sv02'!$X$3*($B90)^3+'sv02'!$W$3*($B90)^4+'sv02'!$V$3*($B90)^5+'sv02'!$U$3*($B90)^6+'sv02'!$T$3*($B90)^7+'sv02'!$S$3*($B90)^8</f>
        <v>7648.8238800654408</v>
      </c>
      <c r="N90" s="5">
        <f>'sv02'!$AA$4+'sv02'!$Z$4*($B90)+'sv02'!$Y$4*($B90)^2+'sv02'!$X$4*($B90)^3+'sv02'!$W$4*($B90)^4+'sv02'!$V$4*($B90)^5+'sv02'!$U$4*($B90)^6+'sv02'!$T$4*($B90)^7+'sv02'!$S$4*($B90)^8</f>
        <v>-14446.231447284825</v>
      </c>
      <c r="O90" s="5">
        <f>'sv02'!$AA$5+'sv02'!$Z$5*($B90)+'sv02'!$Y$5*($B90)^2+'sv02'!$X$5*($B90)^3+'sv02'!$W$5*($B90)^4+'sv02'!$V$5*($B90)^5+'sv02'!$U$5*($B90)^6+'sv02'!$T$5*($B90)^7+'sv02'!$S$5*($B90)^8</f>
        <v>20834.27560723601</v>
      </c>
      <c r="P90" s="5">
        <f>'sv02'!$AA$6+'sv02'!$Z$6*$B90+'sv02'!$Y$6*$B90^2+'sv02'!$X$6*$B90^3+'sv02'!$W$6*$B90^4+'sv02'!$V$6*$B90^5+'sv02'!$U$6*$B90^6+'sv02'!$T$6*$B90^7+'sv02'!$S$6*$B90^8</f>
        <v>257.59230922387411</v>
      </c>
      <c r="R90">
        <f>SQRT(($M90*1000-coord!$B$2)^2+($N90*1000-coord!$C$2)^2+($O90*1000-coord!$D$2)^2)/coord!$B$6</f>
        <v>7.555486773331957E-2</v>
      </c>
      <c r="T90" s="5">
        <f>'sv02'!$AA$3+'sv02'!$Z$3*($B90-$R90/3600)+'sv02'!$Y$3*($B90-$R90/3600)^2+'sv02'!$X$3*($B90-$R90/3600)^3+'sv02'!$W$3*($B90-$R90/3600)^4+'sv02'!$V$3*($B90-$R90/3600)^5+'sv02'!$U$3*($B90-$R90/3600)^6+'sv02'!$T$3*($B90-$R90/3600)^7+'sv02'!$S$3*($B90-$R90/3600)^8+N90*coord!$B$7*R90</f>
        <v>7648.5448916160585</v>
      </c>
      <c r="U90" s="5">
        <f>'sv02'!$AA$4+'sv02'!$Z$4*($B90-$R90/3600)+'sv02'!$Y$4*($B90-$R90/3600)^2+'sv02'!$X$4*($B90-$R90/3600)^3+'sv02'!$W$4*($B90-$R90/3600)^4+'sv02'!$V$4*($B90-$R90/3600)^5+'sv02'!$U$4*($B90-$R90/3600)^6+'sv02'!$T$4*($B90-$R90/3600)^7+'sv02'!$S$4*($B90-$R90/3600)^8-M90*coord!$B$7*R90</f>
        <v>-14446.303912015239</v>
      </c>
      <c r="V90" s="5">
        <f>'sv02'!$AA$5+'sv02'!$Z$5*($B90-$R90/3600)+'sv02'!$Y$5*($B90-$R90/3600)^2+'sv02'!$X$5*($B90-$R90/3600)^3+'sv02'!$W$5*($B90-$R90/3600)^4+'sv02'!$V$5*($B90-$R90/3600)^5+'sv02'!$U$5*($B90-$R90/3600)^6+'sv02'!$T$5*($B90-$R90/3600)^7+'sv02'!$S$5*($B90-$R90/3600)^8</f>
        <v>20834.331173161416</v>
      </c>
      <c r="W90">
        <f>coord!$B$6*P90/10^6</f>
        <v>77224.231544121285</v>
      </c>
      <c r="X90">
        <f>SQRT(($T90*1000+coord!$B$7*$R90*$U90*1000-coord!$B$2)^2+($U90*1000-coord!$B$7*$R90*$T90*1000-coord!$C$2)^2+($V90*1000-coord!$D$2)^2)</f>
        <v>22650845.700224448</v>
      </c>
      <c r="Y90" s="3">
        <f>$D90-(X90-$W90)-coord!$E$2</f>
        <v>-21.600423570722342</v>
      </c>
      <c r="Z90" s="3"/>
      <c r="AB90">
        <f>-(T90*1000-coord!$B$2)/$X90</f>
        <v>-0.1439092722610246</v>
      </c>
      <c r="AC90">
        <f>-(U90*1000-coord!$C$2)/$X90</f>
        <v>0.67860045177310657</v>
      </c>
      <c r="AD90">
        <f>-(V90*1000-coord!$D$2)/$X90</f>
        <v>-0.72027080643173313</v>
      </c>
      <c r="AE90">
        <v>1</v>
      </c>
      <c r="AG90">
        <f t="array" ref="AG90:AM93">TRANSPOSE(AB90:AE96)</f>
        <v>-0.1439092722610246</v>
      </c>
      <c r="AH90">
        <v>-0.19097220578689661</v>
      </c>
      <c r="AI90">
        <v>-0.15687420801836285</v>
      </c>
      <c r="AJ90">
        <v>-0.82656613062618489</v>
      </c>
      <c r="AK90">
        <v>-0.4240061399055885</v>
      </c>
      <c r="AL90">
        <v>-0.48875597624711203</v>
      </c>
      <c r="AM90">
        <v>-0.96748047432202999</v>
      </c>
      <c r="AO90">
        <f t="array" ref="AO90:AR93">MMULT(AG90:AM93,AB90:AE96)</f>
        <v>2.1196834266548277</v>
      </c>
      <c r="AP90">
        <v>0.31378000926529337</v>
      </c>
      <c r="AQ90">
        <v>1.1257030265723007</v>
      </c>
      <c r="AR90">
        <v>-3.1985644071671997</v>
      </c>
      <c r="AT90">
        <f t="array" ref="AT90:AW93">MINVERSE(AO90:AR93)</f>
        <v>2.5599706890027027</v>
      </c>
      <c r="AU90">
        <v>7.1044228563898831E-2</v>
      </c>
      <c r="AV90">
        <v>1.5734700787130109</v>
      </c>
      <c r="AW90">
        <v>1.9445848008528954</v>
      </c>
      <c r="AY90">
        <f t="array" ref="AY90:AY93">MMULT(AG90:AM93,Y90:Y96)</f>
        <v>2.2459048904926973</v>
      </c>
      <c r="BA90">
        <f t="array" ref="BA90:BA93">MMULT(AT90:AW93,AY90:AY93)</f>
        <v>11.667483317826608</v>
      </c>
      <c r="BD90">
        <f>SQRT(($T90*1000+coord!$B$7*$R90*$U90*1000-coord!$B$2-BA$90)^2+($U90*1000-coord!$B$7*$R90*$T90*1000-coord!$C$2-BA$91)^2+($V90*1000-coord!$D$2-BA$92)^2)</f>
        <v>22650817.232930876</v>
      </c>
      <c r="BE90" s="3">
        <f>$D90-(BD90-$W90)-BA$93</f>
        <v>-3.4872852148513118</v>
      </c>
      <c r="BG90" s="1">
        <f>coord!$B$2+$BA90</f>
        <v>4388889.8382833181</v>
      </c>
      <c r="BH90" s="1">
        <f>coord!$C$2+$BA91</f>
        <v>924547.48689013219</v>
      </c>
      <c r="BI90" s="1">
        <f>coord!$D$2+$BA92</f>
        <v>4519604.0546856895</v>
      </c>
      <c r="BJ90" s="1">
        <f>coord!$E$2+$BA93</f>
        <v>10.354155215809755</v>
      </c>
      <c r="BK90" s="8">
        <f>lat($BG90,$BH90,$BI90)</f>
        <v>45.411227812634934</v>
      </c>
      <c r="BL90" s="8">
        <f>lon($BG90,$BH90,$BI90)</f>
        <v>11.895791728767433</v>
      </c>
      <c r="BM90" s="6">
        <f>h($BG90,$BH90,$BI90)</f>
        <v>78.0855049546808</v>
      </c>
      <c r="BO90">
        <f>grado($BK90)</f>
        <v>45</v>
      </c>
      <c r="BP90">
        <f>MINUTOprimo($BK90)</f>
        <v>24</v>
      </c>
      <c r="BQ90">
        <f>MINUTOsecondo($BK90)</f>
        <v>40.420125485761673</v>
      </c>
      <c r="BR90">
        <f>grado($BL90)</f>
        <v>11</v>
      </c>
      <c r="BS90">
        <f>MINUTOprimo($BL90)</f>
        <v>53</v>
      </c>
      <c r="BT90">
        <f>MINUTOsecondo($BL90)</f>
        <v>44.850223562759055</v>
      </c>
      <c r="BV90">
        <f>-SIN(RADIANS(BK90))*COS(RADIANS(BL90))</f>
        <v>-0.6968692927779907</v>
      </c>
      <c r="BW90">
        <f>-SIN(RADIANS(BL90))</f>
        <v>-0.20613231512779098</v>
      </c>
      <c r="BX90">
        <f>COS(RADIANS(BK90))*COS(RADIANS(BL90))</f>
        <v>0.68693715683689727</v>
      </c>
      <c r="BZ90" t="s">
        <v>93</v>
      </c>
      <c r="CA90">
        <f t="array" ref="CA90:CC92">MINVERSE(BV90:BX92)</f>
        <v>-0.69686929277799081</v>
      </c>
      <c r="CB90">
        <v>-0.14679993735745259</v>
      </c>
      <c r="CC90">
        <v>0.70201350925388251</v>
      </c>
      <c r="CD90">
        <v>0</v>
      </c>
      <c r="CE90" s="1">
        <f t="array" ref="CE90:CE92">MMULT(CA90:CC92,BA90:BA92)</f>
        <v>6.2835539521734987</v>
      </c>
      <c r="CG90" s="1">
        <f t="array" ref="CG90:CI90">TRANSPOSE(CE90:CE92)</f>
        <v>6.2835539521734987</v>
      </c>
      <c r="CH90" s="1">
        <v>-24.643287889198579</v>
      </c>
      <c r="CI90" s="1">
        <v>15.964373192659862</v>
      </c>
      <c r="CK90">
        <f t="array" ref="CK90:CN93">MMULT(CA90:CD93,AT90:AW93)</f>
        <v>-0.68979700021718426</v>
      </c>
      <c r="CL90">
        <v>0.14716505451558107</v>
      </c>
      <c r="CM90">
        <v>0.62767722491547451</v>
      </c>
      <c r="CN90">
        <v>-3.916248284150381E-3</v>
      </c>
      <c r="CP90">
        <f t="array" ref="CP90:CS93">TRANSPOSE(CA90:CD93)</f>
        <v>-0.69686929277799081</v>
      </c>
      <c r="CQ90">
        <v>-0.20613231512779098</v>
      </c>
      <c r="CR90">
        <v>0.68693715683689738</v>
      </c>
      <c r="CS90">
        <v>0</v>
      </c>
      <c r="CU90" s="5">
        <f t="array" ref="CU90:CX93">MMULT(CK90:CN93,CP90:CS93)</f>
        <v>0.89973241825928607</v>
      </c>
      <c r="CV90" s="5">
        <v>0.28619400923346461</v>
      </c>
      <c r="CW90" s="5">
        <v>-5.5423883808192187E-3</v>
      </c>
      <c r="CX90" s="5">
        <v>-3.916248284150381E-3</v>
      </c>
      <c r="CZ90" s="3">
        <f>SQRT(CU90+CV91)</f>
        <v>1.2019055293045124</v>
      </c>
      <c r="DA90" s="3">
        <f>CW92</f>
        <v>4.1366044030050082</v>
      </c>
      <c r="DB90" s="3">
        <f>CX93</f>
        <v>2.005392520728539</v>
      </c>
      <c r="DC90" s="3">
        <f>BG97</f>
        <v>3.4897979370979924</v>
      </c>
      <c r="DD90">
        <v>6</v>
      </c>
      <c r="DE90" s="6">
        <f>DB90*DD90*DC90</f>
        <v>41.990488091461188</v>
      </c>
      <c r="DF90">
        <v>5.33</v>
      </c>
      <c r="DG90" s="6">
        <f>DC90*DF90*SQRT(0.5*(CU90+CV91)+SQRT((0.5*(CU90-CV91))^2+CV90^2))</f>
        <v>19.141729108042725</v>
      </c>
    </row>
    <row r="91" spans="1:111">
      <c r="A91">
        <v>26</v>
      </c>
      <c r="B91">
        <f t="shared" si="41"/>
        <v>0.46666666666666667</v>
      </c>
      <c r="C91">
        <v>23</v>
      </c>
      <c r="D91">
        <f>tetto!D91*coord!$B$13-tetto!G91*coord!$B$14</f>
        <v>21126056.883669391</v>
      </c>
      <c r="E91" s="5">
        <f>90-DEGREES(ACOS((coord!$B$2*($T91*1000-coord!$B$2)+coord!$C$2*($U91*1000-coord!$C$2)+coord!$D$2*($V91*1000-coord!$D$2))/(SQRT(coord!$B$2^2+coord!$C$2^2+coord!$D$2^2)*SQRT(($T91*1000-coord!$B$2)^2+($U91*1000-coord!$C$2)^2+($V91*1000-coord!$D$2)^2))))</f>
        <v>51.217540250394151</v>
      </c>
      <c r="F91">
        <f>(coord!$C$2*($V91*1000-coord!$D$2)-coord!$D$2*($U91*1000-coord!$C$2))/(SQRT(coord!$B$2^2+coord!$C$2^2+coord!$D$2^2)*SQRT(($T91*1000-coord!$B$2)^2+($U91*1000-coord!$C$2)^2+($V91*1000-coord!$D$2)^2))</f>
        <v>-0.2932359241154418</v>
      </c>
      <c r="G91">
        <f>(-coord!$B$2*($V91*1000-coord!$D$2)+coord!$D$2*($T91*1000-coord!$B$2))/(SQRT(coord!$B$2^2+coord!$C$2^2+coord!$D$2^2)*SQRT(($T91*1000-coord!$B$2)^2+($U91*1000-coord!$C$2)^2+($V91*1000-coord!$D$2)^2))</f>
        <v>-0.41242343795050379</v>
      </c>
      <c r="H91">
        <f>(coord!$B$2*($U91*1000-coord!$C$2)-coord!$C$2*($T91*1000-coord!$B$2))/(SQRT(coord!$B$2^2+coord!$C$2^2+coord!$D$2^2)*SQRT(($T91*1000-coord!$B$2)^2+($U91*1000-coord!$C$2)^2+($V91*1000-coord!$D$2)^2))</f>
        <v>0.36912459076985055</v>
      </c>
      <c r="I91">
        <f t="shared" si="47"/>
        <v>0.52402138358055295</v>
      </c>
      <c r="J91">
        <f t="shared" si="48"/>
        <v>-0.34312075170395917</v>
      </c>
      <c r="K91">
        <f t="shared" si="49"/>
        <v>1.7612990072137236E-3</v>
      </c>
      <c r="L91">
        <f t="shared" si="50"/>
        <v>56.783867473324378</v>
      </c>
      <c r="M91" s="5">
        <f>'sv23'!$AA$3+'sv23'!$Z$3*($B91)+'sv23'!$Y$3*($B91)^2+'sv23'!$X$3*($B91)^3+'sv23'!$W$3*($B91)^4+'sv23'!$V$3*($B91)^5+'sv23'!$U$3*($B91)^6+'sv23'!$T$3*($B91)^7+'sv23'!$S$3*($B91)^8</f>
        <v>8444.3629903434485</v>
      </c>
      <c r="N91" s="5">
        <f>'sv23'!$AA$4+'sv23'!$Z$4*($B91)+'sv23'!$Y$4*($B91)^2+'sv23'!$X$4*($B91)^3+'sv23'!$W$4*($B91)^4+'sv23'!$V$4*($B91)^5+'sv23'!$U$4*($B91)^6+'sv23'!$T$4*($B91)^7+'sv23'!$S$4*($B91)^8</f>
        <v>13152.131312042951</v>
      </c>
      <c r="O91" s="5">
        <f>'sv23'!$AA$5+'sv23'!$Z$5*($B91)+'sv23'!$Y$5*($B91)^2+'sv23'!$X$5*($B91)^3+'sv23'!$W$5*($B91)^4+'sv23'!$V$5*($B91)^5+'sv23'!$U$5*($B91)^6+'sv23'!$T$5*($B91)^7+'sv23'!$S$5*($B91)^8</f>
        <v>21403.063040772231</v>
      </c>
      <c r="P91" s="5">
        <f>'sv23'!$AA$6+'sv23'!$Z$6*$B91+'sv23'!$Y$6*$B91^2+'sv23'!$X$6*$B91^3+'sv23'!$W$6*$B91^4+'sv23'!$V$6*$B91^5+'sv23'!$U$6*$B91^6+'sv23'!$T$6*$B91^7+'sv23'!$S$6*$B91^8</f>
        <v>370.05651157250094</v>
      </c>
      <c r="R91">
        <f>SQRT(($M91*1000-coord!$B$2)^2+($N91*1000-coord!$C$2)^2+($O91*1000-coord!$D$2)^2)/coord!$B$6</f>
        <v>7.083914501729105E-2</v>
      </c>
      <c r="T91" s="5">
        <f>'sv23'!$AA$3+'sv23'!$Z$3*($B91-$R91/3600)+'sv23'!$Y$3*($B91-$R91/3600)^2+'sv23'!$X$3*($B91-$R91/3600)^3+'sv23'!$W$3*($B91-$R91/3600)^4+'sv23'!$V$3*($B91-$R91/3600)^5+'sv23'!$U$3*($B91-$R91/3600)^6+'sv23'!$T$3*($B91-$R91/3600)^7+'sv23'!$S$3*($B91-$R91/3600)^8+N91*coord!$B$7*R91</f>
        <v>8444.5531429354633</v>
      </c>
      <c r="U91" s="5">
        <f>'sv23'!$AA$4+'sv23'!$Z$4*($B91-$R91/3600)+'sv23'!$Y$4*($B91-$R91/3600)^2+'sv23'!$X$4*($B91-$R91/3600)^3+'sv23'!$W$4*($B91-$R91/3600)^4+'sv23'!$V$4*($B91-$R91/3600)^5+'sv23'!$U$4*($B91-$R91/3600)^6+'sv23'!$T$4*($B91-$R91/3600)^7+'sv23'!$S$4*($B91-$R91/3600)^8-M91*coord!$B$7*R91</f>
        <v>13151.938001112903</v>
      </c>
      <c r="V91" s="5">
        <f>'sv23'!$AA$5+'sv23'!$Z$5*($B91-$R91/3600)+'sv23'!$Y$5*($B91-$R91/3600)^2+'sv23'!$X$5*($B91-$R91/3600)^3+'sv23'!$W$5*($B91-$R91/3600)^4+'sv23'!$V$5*($B91-$R91/3600)^5+'sv23'!$U$5*($B91-$R91/3600)^6+'sv23'!$T$5*($B91-$R91/3600)^7+'sv23'!$S$5*($B91-$R91/3600)^8</f>
        <v>21403.108945584758</v>
      </c>
      <c r="W91">
        <f>coord!$B$6*P91/10^6</f>
        <v>110940.1512032255</v>
      </c>
      <c r="X91">
        <f>SQRT(($T91*1000+coord!$B$7*$R91*$U91*1000-coord!$B$2)^2+($U91*1000-coord!$B$7*$R91*$T91*1000-coord!$C$2)^2+($V91*1000-coord!$D$2)^2)</f>
        <v>21236990.772684161</v>
      </c>
      <c r="Y91" s="3">
        <f>$D91-(X91-$W91)-coord!$E$2</f>
        <v>6.2621884569525719</v>
      </c>
      <c r="Z91" s="3"/>
      <c r="AB91">
        <f>-(T91*1000-coord!$B$2)/$X91</f>
        <v>-0.19097220578689661</v>
      </c>
      <c r="AC91">
        <f>-(U91*1000-coord!$C$2)/$X91</f>
        <v>-0.57575802140669652</v>
      </c>
      <c r="AD91">
        <f>-(V91*1000-coord!$D$2)/$X91</f>
        <v>-0.79500532123416445</v>
      </c>
      <c r="AE91">
        <v>1</v>
      </c>
      <c r="AG91">
        <v>0.67860045177310657</v>
      </c>
      <c r="AH91">
        <v>-0.57575802140669652</v>
      </c>
      <c r="AI91">
        <v>0.76068566437061769</v>
      </c>
      <c r="AJ91">
        <v>0.37489437187313845</v>
      </c>
      <c r="AK91">
        <v>-0.90505992444554773</v>
      </c>
      <c r="AL91">
        <v>-0.20919298324120147</v>
      </c>
      <c r="AM91">
        <v>-0.25291961893719561</v>
      </c>
      <c r="AO91">
        <v>0.31378000926529337</v>
      </c>
      <c r="AP91">
        <v>2.4380478471200115</v>
      </c>
      <c r="AQ91">
        <v>-0.46147140325469649</v>
      </c>
      <c r="AR91">
        <v>-0.12875006001377862</v>
      </c>
      <c r="AT91">
        <v>7.1044228563898776E-2</v>
      </c>
      <c r="AU91">
        <v>0.48535288563468615</v>
      </c>
      <c r="AV91">
        <v>0.38164987640059755</v>
      </c>
      <c r="AW91">
        <v>0.22901202993176717</v>
      </c>
      <c r="AY91">
        <v>-60.36210265612884</v>
      </c>
      <c r="BA91">
        <v>-22.726309867788302</v>
      </c>
      <c r="BD91">
        <f>SQRT(($T91*1000+coord!$B$7*$R91*$U91*1000-coord!$B$2-BA$90)^2+($U91*1000-coord!$B$7*$R91*$T91*1000-coord!$C$2-BA$91)^2+($V91*1000-coord!$D$2-BA$92)^2)</f>
        <v>21236989.083820898</v>
      </c>
      <c r="BE91" s="3">
        <f t="shared" ref="BE91:BE96" si="51">$D91-(BD91-$W91)-BA$93</f>
        <v>-2.4031034963230411</v>
      </c>
      <c r="BG91" s="1"/>
      <c r="BH91" s="1"/>
      <c r="BI91" s="1"/>
      <c r="BV91">
        <f>-SIN(RADIANS(BK90))*SIN(RADIANS(BL90))</f>
        <v>-0.14679993735745259</v>
      </c>
      <c r="BW91">
        <f>COS(RADIANS(BL90))</f>
        <v>0.97852412778636022</v>
      </c>
      <c r="BX91">
        <f>COS(RADIANS(BK90))*SIN(RADIANS(BL90))</f>
        <v>0.14470766991348771</v>
      </c>
      <c r="BZ91" t="s">
        <v>94</v>
      </c>
      <c r="CA91">
        <v>-0.20613231512779098</v>
      </c>
      <c r="CB91">
        <v>0.97852412778636022</v>
      </c>
      <c r="CC91">
        <v>0</v>
      </c>
      <c r="CD91">
        <v>0</v>
      </c>
      <c r="CE91" s="1">
        <v>-24.643287889198579</v>
      </c>
      <c r="CG91" s="1"/>
      <c r="CH91" s="1"/>
      <c r="CI91" s="1"/>
      <c r="CK91">
        <v>-0.45817419299366946</v>
      </c>
      <c r="CL91">
        <v>0.46028499777392989</v>
      </c>
      <c r="CM91">
        <v>4.9110582315246454E-2</v>
      </c>
      <c r="CN91">
        <v>-0.1767479701205554</v>
      </c>
      <c r="CP91">
        <v>-0.14679993735745259</v>
      </c>
      <c r="CQ91">
        <v>0.97852412778636022</v>
      </c>
      <c r="CR91">
        <v>0.14470766991348771</v>
      </c>
      <c r="CS91">
        <v>0</v>
      </c>
      <c r="CU91" s="5">
        <v>0.28619400923346483</v>
      </c>
      <c r="CV91" s="5">
        <v>0.54484448311347389</v>
      </c>
      <c r="CW91" s="5">
        <v>-0.213155337479915</v>
      </c>
      <c r="CX91" s="5">
        <v>-0.1767479701205554</v>
      </c>
    </row>
    <row r="92" spans="1:111">
      <c r="A92">
        <v>26</v>
      </c>
      <c r="B92">
        <f t="shared" si="41"/>
        <v>0.46666666666666667</v>
      </c>
      <c r="C92">
        <v>10</v>
      </c>
      <c r="D92">
        <f>tetto!D92*coord!$B$13-tetto!G92*coord!$B$14</f>
        <v>22891103.47374624</v>
      </c>
      <c r="E92" s="5">
        <f>90-DEGREES(ACOS((coord!$B$2*($T92*1000-coord!$B$2)+coord!$C$2*($U92*1000-coord!$C$2)+coord!$D$2*($V92*1000-coord!$D$2))/(SQRT(coord!$B$2^2+coord!$C$2^2+coord!$D$2^2)*SQRT(($T92*1000-coord!$B$2)^2+($U92*1000-coord!$C$2)^2+($V92*1000-coord!$D$2)^2))))</f>
        <v>26.408199752631688</v>
      </c>
      <c r="F92">
        <f>(coord!$C$2*($V92*1000-coord!$D$2)-coord!$D$2*($U92*1000-coord!$C$2))/(SQRT(coord!$B$2^2+coord!$C$2^2+coord!$D$2^2)*SQRT(($T92*1000-coord!$B$2)^2+($U92*1000-coord!$C$2)^2+($V92*1000-coord!$D$2)^2))</f>
        <v>0.6313969362002182</v>
      </c>
      <c r="G92">
        <f>(-coord!$B$2*($V92*1000-coord!$D$2)+coord!$D$2*($T92*1000-coord!$B$2))/(SQRT(coord!$B$2^2+coord!$C$2^2+coord!$D$2^2)*SQRT(($T92*1000-coord!$B$2)^2+($U92*1000-coord!$C$2)^2+($V92*1000-coord!$D$2)^2))</f>
        <v>-0.32280878308331612</v>
      </c>
      <c r="H92">
        <f>(coord!$B$2*($U92*1000-coord!$C$2)-coord!$C$2*($T92*1000-coord!$B$2))/(SQRT(coord!$B$2^2+coord!$C$2^2+coord!$D$2^2)*SQRT(($T92*1000-coord!$B$2)^2+($U92*1000-coord!$C$2)^2+($V92*1000-coord!$D$2)^2))</f>
        <v>-0.54709957963680533</v>
      </c>
      <c r="I92">
        <f t="shared" si="47"/>
        <v>-0.77668401042258006</v>
      </c>
      <c r="J92">
        <f t="shared" si="48"/>
        <v>-0.44602769267326786</v>
      </c>
      <c r="K92">
        <f t="shared" si="49"/>
        <v>-2.6070749857872721E-3</v>
      </c>
      <c r="L92">
        <f t="shared" si="50"/>
        <v>-60.132465586152193</v>
      </c>
      <c r="M92" s="5">
        <f>'sv10'!$AA$3+'sv10'!$Z$3*($B92)+'sv10'!$Y$3*($B92)^2+'sv10'!$X$3*($B92)^3+'sv10'!$W$3*($B92)^4+'sv10'!$V$3*($B92)^5+'sv10'!$U$3*($B92)^6+'sv10'!$T$3*($B92)^7+'sv10'!$S$3*($B92)^8</f>
        <v>7978.0540910099335</v>
      </c>
      <c r="N92" s="5">
        <f>'sv10'!$AA$4+'sv10'!$Z$4*($B92)+'sv10'!$Y$4*($B92)^2+'sv10'!$X$4*($B92)^3+'sv10'!$W$4*($B92)^4+'sv10'!$V$4*($B92)^5+'sv10'!$U$4*($B92)^6+'sv10'!$T$4*($B92)^7+'sv10'!$S$4*($B92)^8</f>
        <v>-16478.355938927336</v>
      </c>
      <c r="O92" s="5">
        <f>'sv10'!$AA$5+'sv10'!$Z$5*($B92)+'sv10'!$Y$5*($B92)^2+'sv10'!$X$5*($B92)^3+'sv10'!$W$5*($B92)^4+'sv10'!$V$5*($B92)^5+'sv10'!$U$5*($B92)^6+'sv10'!$T$5*($B92)^7+'sv10'!$S$5*($B92)^8</f>
        <v>18930.193394982773</v>
      </c>
      <c r="P92" s="5">
        <f>'sv10'!$AA$6+'sv10'!$Z$6*$B92+'sv10'!$Y$6*$B92^2+'sv10'!$X$6*$B92^3+'sv10'!$W$6*$B92^4+'sv10'!$V$6*$B92^5+'sv10'!$U$6*$B92^6+'sv10'!$T$6*$B92^7+'sv10'!$S$6*$B92^8</f>
        <v>-43.001484392139943</v>
      </c>
      <c r="R92">
        <f>SQRT(($M92*1000-coord!$B$2)^2+($N92*1000-coord!$C$2)^2+($O92*1000-coord!$D$2)^2)/coord!$B$6</f>
        <v>7.6313280556449731E-2</v>
      </c>
      <c r="T92" s="5">
        <f>'sv10'!$AA$3+'sv10'!$Z$3*($B92-$R92/3600)+'sv10'!$Y$3*($B92-$R92/3600)^2+'sv10'!$X$3*($B92-$R92/3600)^3+'sv10'!$W$3*($B92-$R92/3600)^4+'sv10'!$V$3*($B92-$R92/3600)^5+'sv10'!$U$3*($B92-$R92/3600)^6+'sv10'!$T$3*($B92-$R92/3600)^7+'sv10'!$S$3*($B92-$R92/3600)^8+N92*coord!$B$7*R92</f>
        <v>7977.8821622508449</v>
      </c>
      <c r="U92" s="5">
        <f>'sv10'!$AA$4+'sv10'!$Z$4*($B92-$R92/3600)+'sv10'!$Y$4*($B92-$R92/3600)^2+'sv10'!$X$4*($B92-$R92/3600)^3+'sv10'!$W$4*($B92-$R92/3600)^4+'sv10'!$V$4*($B92-$R92/3600)^5+'sv10'!$U$4*($B92-$R92/3600)^6+'sv10'!$T$4*($B92-$R92/3600)^7+'sv10'!$S$4*($B92-$R92/3600)^8-M92*coord!$B$7*R92</f>
        <v>-16478.570303984397</v>
      </c>
      <c r="V92" s="5">
        <f>'sv10'!$AA$5+'sv10'!$Z$5*($B92-$R92/3600)+'sv10'!$Y$5*($B92-$R92/3600)^2+'sv10'!$X$5*($B92-$R92/3600)^3+'sv10'!$W$5*($B92-$R92/3600)^4+'sv10'!$V$5*($B92-$R92/3600)^5+'sv10'!$U$5*($B92-$R92/3600)^6+'sv10'!$T$5*($B92-$R92/3600)^7+'sv10'!$S$5*($B92-$R92/3600)^8</f>
        <v>18930.077753430069</v>
      </c>
      <c r="W92">
        <f>coord!$B$6*P92/10^6</f>
        <v>-12891.520703568271</v>
      </c>
      <c r="X92">
        <f>SQRT(($T92*1000+coord!$B$7*$R92*$U92*1000-coord!$B$2)^2+($U92*1000-coord!$B$7*$R92*$T92*1000-coord!$C$2)^2+($V92*1000-coord!$D$2)^2)</f>
        <v>22878228.593388245</v>
      </c>
      <c r="Y92" s="3">
        <f>$D92-(X92-$W92)-coord!$E$2</f>
        <v>-16.640345573425293</v>
      </c>
      <c r="Z92" s="3"/>
      <c r="AB92">
        <f>-(T92*1000-coord!$B$2)/$X92</f>
        <v>-0.15687420801836285</v>
      </c>
      <c r="AC92">
        <f>-(U92*1000-coord!$C$2)/$X92</f>
        <v>0.76068566437061769</v>
      </c>
      <c r="AD92">
        <f>-(V92*1000-coord!$D$2)/$X92</f>
        <v>-0.62987785178851952</v>
      </c>
      <c r="AE92">
        <v>1</v>
      </c>
      <c r="AG92">
        <v>-0.72027080643173313</v>
      </c>
      <c r="AH92">
        <v>-0.79500532123416445</v>
      </c>
      <c r="AI92">
        <v>-0.62987785178851952</v>
      </c>
      <c r="AJ92">
        <v>-0.41981123067423454</v>
      </c>
      <c r="AK92">
        <v>-3.2970716185417338E-2</v>
      </c>
      <c r="AL92">
        <v>-0.84696878233139949</v>
      </c>
      <c r="AM92">
        <v>3.6473239022168859E-3</v>
      </c>
      <c r="AO92">
        <v>1.1257030265723007</v>
      </c>
      <c r="AP92">
        <v>-0.46147140325469649</v>
      </c>
      <c r="AQ92">
        <v>2.4422675623037526</v>
      </c>
      <c r="AR92">
        <v>-3.4412573847432513</v>
      </c>
      <c r="AT92">
        <v>1.5734700787130114</v>
      </c>
      <c r="AU92">
        <v>0.3816498764005975</v>
      </c>
      <c r="AV92">
        <v>2.5358577297403793</v>
      </c>
      <c r="AW92">
        <v>1.9726459961617395</v>
      </c>
      <c r="AY92">
        <v>26.53027438027215</v>
      </c>
      <c r="BA92">
        <v>15.78038568970414</v>
      </c>
      <c r="BD92">
        <f>SQRT(($T92*1000+coord!$B$7*$R92*$U92*1000-coord!$B$2-BA$90)^2+($U92*1000-coord!$B$7*$R92*$T92*1000-coord!$C$2-BA$91)^2+($V92*1000-coord!$D$2-BA$92)^2)</f>
        <v>22878199.535771396</v>
      </c>
      <c r="BE92" s="3">
        <f t="shared" si="51"/>
        <v>2.0631160592635354</v>
      </c>
      <c r="BG92" s="1"/>
      <c r="BH92" s="1"/>
      <c r="BI92" s="1"/>
      <c r="BV92">
        <f>COS(RADIANS(BK90))</f>
        <v>0.70201350925388251</v>
      </c>
      <c r="BW92">
        <v>0</v>
      </c>
      <c r="BX92">
        <f>SIN(RADIANS(BK90))</f>
        <v>0.71216362784478748</v>
      </c>
      <c r="BZ92" t="s">
        <v>95</v>
      </c>
      <c r="CA92">
        <v>0.68693715683689738</v>
      </c>
      <c r="CB92">
        <v>0.14470766991348771</v>
      </c>
      <c r="CC92">
        <v>0.71216362784478748</v>
      </c>
      <c r="CD92">
        <v>0</v>
      </c>
      <c r="CE92" s="1">
        <v>15.964373192659862</v>
      </c>
      <c r="CG92" s="1"/>
      <c r="CH92" s="1"/>
      <c r="CI92" s="1"/>
      <c r="CK92">
        <v>2.8893877910270747</v>
      </c>
      <c r="CL92">
        <v>0.39083436608930255</v>
      </c>
      <c r="CM92">
        <v>2.942048367085901</v>
      </c>
      <c r="CN92">
        <v>2.773794080639755</v>
      </c>
      <c r="CP92">
        <v>0.70201350925388251</v>
      </c>
      <c r="CQ92">
        <v>0</v>
      </c>
      <c r="CR92">
        <v>0.71216362784478748</v>
      </c>
      <c r="CS92">
        <v>0</v>
      </c>
      <c r="CU92" s="5">
        <v>-5.5423883808196628E-3</v>
      </c>
      <c r="CV92" s="5">
        <v>-0.213155337479915</v>
      </c>
      <c r="CW92" s="5">
        <v>4.1366044030050082</v>
      </c>
      <c r="CX92" s="5">
        <v>2.773794080639755</v>
      </c>
    </row>
    <row r="93" spans="1:111">
      <c r="A93">
        <v>26</v>
      </c>
      <c r="B93">
        <f t="shared" si="41"/>
        <v>0.46666666666666667</v>
      </c>
      <c r="C93">
        <v>4</v>
      </c>
      <c r="D93">
        <f>tetto!D93*coord!$B$13-tetto!G93*coord!$B$14</f>
        <v>21164123.046940308</v>
      </c>
      <c r="E93" s="5">
        <f>90-DEGREES(ACOS((coord!$B$2*($T93*1000-coord!$B$2)+coord!$C$2*($U93*1000-coord!$C$2)+coord!$D$2*($V93*1000-coord!$D$2))/(SQRT(coord!$B$2^2+coord!$C$2^2+coord!$D$2^2)*SQRT(($T93*1000-coord!$B$2)^2+($U93*1000-coord!$C$2)^2+($V93*1000-coord!$D$2)^2))))</f>
        <v>54.417355072733706</v>
      </c>
      <c r="F93">
        <f>(coord!$C$2*($V93*1000-coord!$D$2)-coord!$D$2*($U93*1000-coord!$C$2))/(SQRT(coord!$B$2^2+coord!$C$2^2+coord!$D$2^2)*SQRT(($T93*1000-coord!$B$2)^2+($U93*1000-coord!$C$2)^2+($V93*1000-coord!$D$2)^2))</f>
        <v>0.32705892127755903</v>
      </c>
      <c r="G93">
        <f>(-coord!$B$2*($V93*1000-coord!$D$2)+coord!$D$2*($T93*1000-coord!$B$2))/(SQRT(coord!$B$2^2+coord!$C$2^2+coord!$D$2^2)*SQRT(($T93*1000-coord!$B$2)^2+($U93*1000-coord!$C$2)^2+($V93*1000-coord!$D$2)^2))</f>
        <v>0.29733327424091399</v>
      </c>
      <c r="H93">
        <f>(coord!$B$2*($U93*1000-coord!$C$2)-coord!$C$2*($T93*1000-coord!$B$2))/(SQRT(coord!$B$2^2+coord!$C$2^2+coord!$D$2^2)*SQRT(($T93*1000-coord!$B$2)^2+($U93*1000-coord!$C$2)^2+($V93*1000-coord!$D$2)^2))</f>
        <v>-0.37842545495623681</v>
      </c>
      <c r="I93">
        <f t="shared" si="47"/>
        <v>-0.53722566467828581</v>
      </c>
      <c r="J93">
        <f t="shared" si="48"/>
        <v>0.22353023357517743</v>
      </c>
      <c r="K93">
        <f t="shared" si="49"/>
        <v>-1.8052162470368338E-3</v>
      </c>
      <c r="L93">
        <f t="shared" si="50"/>
        <v>247.4086567561487</v>
      </c>
      <c r="M93" s="5">
        <f>'sv04'!$AA$3+'sv04'!$Z$3*($B93)+'sv04'!$Y$3*($B93)^2+'sv04'!$X$3*($B93)^3+'sv04'!$W$3*($B93)^4+'sv04'!$V$3*($B93)^5+'sv04'!$U$3*($B93)^6+'sv04'!$T$3*($B93)^7+'sv04'!$S$3*($B93)^8</f>
        <v>21904.048475038751</v>
      </c>
      <c r="N93" s="5">
        <f>'sv04'!$AA$4+'sv04'!$Z$4*($B93)+'sv04'!$Y$4*($B93)^2+'sv04'!$X$4*($B93)^3+'sv04'!$W$4*($B93)^4+'sv04'!$V$4*($B93)^5+'sv04'!$U$4*($B93)^6+'sv04'!$T$4*($B93)^7+'sv04'!$S$4*($B93)^8</f>
        <v>-7019.3310430083447</v>
      </c>
      <c r="O93" s="5">
        <f>'sv04'!$AA$5+'sv04'!$Z$5*($B93)+'sv04'!$Y$5*($B93)^2+'sv04'!$X$5*($B93)^3+'sv04'!$W$5*($B93)^4+'sv04'!$V$5*($B93)^5+'sv04'!$U$5*($B93)^6+'sv04'!$T$5*($B93)^7+'sv04'!$S$5*($B93)^8</f>
        <v>13415.257583532763</v>
      </c>
      <c r="P93" s="5">
        <f>'sv04'!$AA$6+'sv04'!$Z$6*$B93+'sv04'!$Y$6*$B93^2+'sv04'!$X$6*$B93^3+'sv04'!$W$6*$B93^4+'sv04'!$V$6*$B93^5+'sv04'!$U$6*$B93^6+'sv04'!$T$6*$B93^7+'sv04'!$S$6*$B93^8</f>
        <v>86.601274244588183</v>
      </c>
      <c r="R93">
        <f>SQRT(($M93*1000-coord!$B$2)^2+($N93*1000-coord!$C$2)^2+($O93*1000-coord!$D$2)^2)/coord!$B$6</f>
        <v>7.068251436589025E-2</v>
      </c>
      <c r="T93" s="5">
        <f>'sv04'!$AA$3+'sv04'!$Z$3*($B93-$R93/3600)+'sv04'!$Y$3*($B93-$R93/3600)^2+'sv04'!$X$3*($B93-$R93/3600)^3+'sv04'!$W$3*($B93-$R93/3600)^4+'sv04'!$V$3*($B93-$R93/3600)^5+'sv04'!$U$3*($B93-$R93/3600)^6+'sv04'!$T$3*($B93-$R93/3600)^7+'sv04'!$S$3*($B93-$R93/3600)^8+N93*coord!$B$7*R93</f>
        <v>21903.893892232445</v>
      </c>
      <c r="U93" s="5">
        <f>'sv04'!$AA$4+'sv04'!$Z$4*($B93-$R93/3600)+'sv04'!$Y$4*($B93-$R93/3600)^2+'sv04'!$X$4*($B93-$R93/3600)^3+'sv04'!$W$4*($B93-$R93/3600)^4+'sv04'!$V$4*($B93-$R93/3600)^5+'sv04'!$U$4*($B93-$R93/3600)^6+'sv04'!$T$4*($B93-$R93/3600)^7+'sv04'!$S$4*($B93-$R93/3600)^8-M93*coord!$B$7*R93</f>
        <v>-7019.4775452777376</v>
      </c>
      <c r="V93" s="5">
        <f>'sv04'!$AA$5+'sv04'!$Z$5*($B93-$R93/3600)+'sv04'!$Y$5*($B93-$R93/3600)^2+'sv04'!$X$5*($B93-$R93/3600)^3+'sv04'!$W$5*($B93-$R93/3600)^4+'sv04'!$V$5*($B93-$R93/3600)^5+'sv04'!$U$5*($B93-$R93/3600)^6+'sv04'!$T$5*($B93-$R93/3600)^7+'sv04'!$S$5*($B93-$R93/3600)^8</f>
        <v>13415.428586221175</v>
      </c>
      <c r="W93">
        <f>coord!$B$6*P93/10^6</f>
        <v>25962.408871717187</v>
      </c>
      <c r="X93">
        <f>SQRT(($T93*1000+coord!$B$7*$R93*$U93*1000-coord!$B$2)^2+($U93*1000-coord!$B$7*$R93*$T93*1000-coord!$C$2)^2+($V93*1000-coord!$D$2)^2)</f>
        <v>21190096.076358132</v>
      </c>
      <c r="Y93" s="3">
        <f>$D93-(X93-$W93)-coord!$E$2</f>
        <v>-10.620546106249094</v>
      </c>
      <c r="Z93" s="3"/>
      <c r="AB93">
        <f>-(T93*1000-coord!$B$2)/$X93</f>
        <v>-0.82656613062618489</v>
      </c>
      <c r="AC93">
        <f>-(U93*1000-coord!$C$2)/$X93</f>
        <v>0.37489437187313845</v>
      </c>
      <c r="AD93">
        <f>-(V93*1000-coord!$D$2)/$X93</f>
        <v>-0.41981123067423454</v>
      </c>
      <c r="AE93">
        <v>1</v>
      </c>
      <c r="AG93">
        <v>1</v>
      </c>
      <c r="AH93">
        <v>1</v>
      </c>
      <c r="AI93">
        <v>1</v>
      </c>
      <c r="AJ93">
        <v>1</v>
      </c>
      <c r="AK93">
        <v>1</v>
      </c>
      <c r="AL93">
        <v>1</v>
      </c>
      <c r="AM93">
        <v>1</v>
      </c>
      <c r="AO93">
        <v>-3.1985644071671997</v>
      </c>
      <c r="AP93">
        <v>-0.12875006001377862</v>
      </c>
      <c r="AQ93">
        <v>-3.4412573847432513</v>
      </c>
      <c r="AR93">
        <v>7</v>
      </c>
      <c r="AT93">
        <v>1.9445848008528954</v>
      </c>
      <c r="AU93">
        <v>0.22901202993176711</v>
      </c>
      <c r="AV93">
        <v>1.9726459961617391</v>
      </c>
      <c r="AW93">
        <v>2.005392520728539</v>
      </c>
      <c r="AY93">
        <v>-16.218465380370617</v>
      </c>
      <c r="BA93">
        <v>10.354155215809755</v>
      </c>
      <c r="BD93">
        <f>SQRT(($T93*1000+coord!$B$7*$R93*$U93*1000-coord!$B$2-BA$90)^2+($U93*1000-coord!$B$7*$R93*$T93*1000-coord!$C$2-BA$91)^2+($V93*1000-coord!$D$2-BA$92)^2)</f>
        <v>21190071.287568405</v>
      </c>
      <c r="BE93" s="3">
        <f t="shared" si="51"/>
        <v>3.8140884047349175</v>
      </c>
      <c r="BG93" s="1"/>
      <c r="BH93" s="1"/>
      <c r="BI93" s="1"/>
      <c r="CA93">
        <v>0</v>
      </c>
      <c r="CB93">
        <v>0</v>
      </c>
      <c r="CC93">
        <v>0</v>
      </c>
      <c r="CD93">
        <v>1</v>
      </c>
      <c r="CG93" s="1"/>
      <c r="CH93" s="1"/>
      <c r="CI93" s="1"/>
      <c r="CK93">
        <v>1.9445848008528954</v>
      </c>
      <c r="CL93">
        <v>0.22901202993176711</v>
      </c>
      <c r="CM93">
        <v>1.9726459961617391</v>
      </c>
      <c r="CN93">
        <v>2.005392520728539</v>
      </c>
      <c r="CP93">
        <v>0</v>
      </c>
      <c r="CQ93">
        <v>0</v>
      </c>
      <c r="CR93">
        <v>0</v>
      </c>
      <c r="CS93">
        <v>1</v>
      </c>
      <c r="CU93" s="5">
        <v>-3.916248284150603E-3</v>
      </c>
      <c r="CV93" s="5">
        <v>-0.17674797012055546</v>
      </c>
      <c r="CW93" s="5">
        <v>2.773794080639755</v>
      </c>
      <c r="CX93" s="5">
        <v>2.005392520728539</v>
      </c>
    </row>
    <row r="94" spans="1:111">
      <c r="A94">
        <v>26</v>
      </c>
      <c r="B94">
        <f t="shared" si="41"/>
        <v>0.46666666666666667</v>
      </c>
      <c r="C94">
        <v>20</v>
      </c>
      <c r="D94">
        <f>tetto!D94*coord!$B$13-tetto!G94*coord!$B$14</f>
        <v>23077919.4693143</v>
      </c>
      <c r="E94" s="5">
        <f>90-DEGREES(ACOS((coord!$B$2*($T94*1000-coord!$B$2)+coord!$C$2*($U94*1000-coord!$C$2)+coord!$D$2*($V94*1000-coord!$D$2))/(SQRT(coord!$B$2^2+coord!$C$2^2+coord!$D$2^2)*SQRT(($T94*1000-coord!$B$2)^2+($U94*1000-coord!$C$2)^2+($V94*1000-coord!$D$2)^2))))</f>
        <v>26.556271583244481</v>
      </c>
      <c r="F94">
        <f>(coord!$C$2*($V94*1000-coord!$D$2)-coord!$D$2*($U94*1000-coord!$C$2))/(SQRT(coord!$B$2^2+coord!$C$2^2+coord!$D$2^2)*SQRT(($T94*1000-coord!$B$2)^2+($U94*1000-coord!$C$2)^2+($V94*1000-coord!$D$2)^2))</f>
        <v>-0.63762479060539645</v>
      </c>
      <c r="G94">
        <f>(-coord!$B$2*($V94*1000-coord!$D$2)+coord!$D$2*($T94*1000-coord!$B$2))/(SQRT(coord!$B$2^2+coord!$C$2^2+coord!$D$2^2)*SQRT(($T94*1000-coord!$B$2)^2+($U94*1000-coord!$C$2)^2+($V94*1000-coord!$D$2)^2))</f>
        <v>0.27823407975956405</v>
      </c>
      <c r="H94">
        <f>(coord!$B$2*($U94*1000-coord!$C$2)-coord!$C$2*($T94*1000-coord!$B$2))/(SQRT(coord!$B$2^2+coord!$C$2^2+coord!$D$2^2)*SQRT(($T94*1000-coord!$B$2)^2+($U94*1000-coord!$C$2)^2+($V94*1000-coord!$D$2)^2))</f>
        <v>0.56226594724487955</v>
      </c>
      <c r="I94">
        <f t="shared" si="47"/>
        <v>0.79821458035573023</v>
      </c>
      <c r="J94">
        <f t="shared" si="48"/>
        <v>0.40369403750489474</v>
      </c>
      <c r="K94">
        <f t="shared" si="49"/>
        <v>2.6795439781943098E-3</v>
      </c>
      <c r="L94">
        <f t="shared" si="50"/>
        <v>116.8278344106875</v>
      </c>
      <c r="M94" s="5">
        <f>'sv20'!$AA$3+'sv20'!$Z$3*($B94)+'sv20'!$Y$3*($B94)^2+'sv20'!$X$3*($B94)^3+'sv20'!$W$3*($B94)^4+'sv20'!$V$3*($B94)^5+'sv20'!$U$3*($B94)^6+'sv20'!$T$3*($B94)^7+'sv20'!$S$3*($B94)^8</f>
        <v>14181.01613532555</v>
      </c>
      <c r="N94" s="5">
        <f>'sv20'!$AA$4+'sv20'!$Z$4*($B94)+'sv20'!$Y$4*($B94)^2+'sv20'!$X$4*($B94)^3+'sv20'!$W$4*($B94)^4+'sv20'!$V$4*($B94)^5+'sv20'!$U$4*($B94)^6+'sv20'!$T$4*($B94)^7+'sv20'!$S$4*($B94)^8</f>
        <v>21826.728260628079</v>
      </c>
      <c r="O94" s="5">
        <f>'sv20'!$AA$5+'sv20'!$Z$5*($B94)+'sv20'!$Y$5*($B94)^2+'sv20'!$X$5*($B94)^3+'sv20'!$W$5*($B94)^4+'sv20'!$V$5*($B94)^5+'sv20'!$U$5*($B94)^6+'sv20'!$T$5*($B94)^7+'sv20'!$S$5*($B94)^8</f>
        <v>5280.8016816399577</v>
      </c>
      <c r="P94" s="5">
        <f>'sv20'!$AA$6+'sv20'!$Z$6*$B94+'sv20'!$Y$6*$B94^2+'sv20'!$X$6*$B94^3+'sv20'!$W$6*$B94^4+'sv20'!$V$6*$B94^5+'sv20'!$U$6*$B94^6+'sv20'!$T$6*$B94^7+'sv20'!$S$6*$B94^8</f>
        <v>55.817768988958051</v>
      </c>
      <c r="R94">
        <f>SQRT(($M94*1000-coord!$B$2)^2+($N94*1000-coord!$C$2)^2+($O94*1000-coord!$D$2)^2)/coord!$B$6</f>
        <v>7.7035659931866271E-2</v>
      </c>
      <c r="T94" s="5">
        <f>'sv20'!$AA$3+'sv20'!$Z$3*($B94-$R94/3600)+'sv20'!$Y$3*($B94-$R94/3600)^2+'sv20'!$X$3*($B94-$R94/3600)^3+'sv20'!$W$3*($B94-$R94/3600)^4+'sv20'!$V$3*($B94-$R94/3600)^5+'sv20'!$U$3*($B94-$R94/3600)^6+'sv20'!$T$3*($B94-$R94/3600)^7+'sv20'!$S$3*($B94-$R94/3600)^8+N94*coord!$B$7*R94</f>
        <v>14181.140784117173</v>
      </c>
      <c r="U94" s="5">
        <f>'sv20'!$AA$4+'sv20'!$Z$4*($B94-$R94/3600)+'sv20'!$Y$4*($B94-$R94/3600)^2+'sv20'!$X$4*($B94-$R94/3600)^3+'sv20'!$W$4*($B94-$R94/3600)^4+'sv20'!$V$4*($B94-$R94/3600)^5+'sv20'!$U$4*($B94-$R94/3600)^6+'sv20'!$T$4*($B94-$R94/3600)^7+'sv20'!$S$4*($B94-$R94/3600)^8-M94*coord!$B$7*R94</f>
        <v>21826.589374840427</v>
      </c>
      <c r="V94" s="5">
        <f>'sv20'!$AA$5+'sv20'!$Z$5*($B94-$R94/3600)+'sv20'!$Y$5*($B94-$R94/3600)^2+'sv20'!$X$5*($B94-$R94/3600)^3+'sv20'!$W$5*($B94-$R94/3600)^4+'sv20'!$V$5*($B94-$R94/3600)^5+'sv20'!$U$5*($B94-$R94/3600)^6+'sv20'!$T$5*($B94-$R94/3600)^7+'sv20'!$S$5*($B94-$R94/3600)^8</f>
        <v>5281.0345861591695</v>
      </c>
      <c r="W94">
        <f>coord!$B$6*P94/10^6</f>
        <v>16733.746165275908</v>
      </c>
      <c r="X94">
        <f>SQRT(($T94*1000+coord!$B$7*$R94*$U94*1000-coord!$B$2)^2+($U94*1000-coord!$B$7*$R94*$T94*1000-coord!$C$2)^2+($V94*1000-coord!$D$2)^2)</f>
        <v>23094624.562506504</v>
      </c>
      <c r="Y94" s="3">
        <f>$D94-(X94-$W94)-coord!$E$2</f>
        <v>28.6529730707407</v>
      </c>
      <c r="Z94" s="3"/>
      <c r="AB94">
        <f>-(T94*1000-coord!$B$2)/$X94</f>
        <v>-0.4240061399055885</v>
      </c>
      <c r="AC94">
        <f>-(U94*1000-coord!$C$2)/$X94</f>
        <v>-0.90505992444554773</v>
      </c>
      <c r="AD94">
        <f>-(V94*1000-coord!$D$2)/$X94</f>
        <v>-3.2970716185417338E-2</v>
      </c>
      <c r="AE94">
        <v>1</v>
      </c>
      <c r="BD94">
        <f>SQRT(($T94*1000+coord!$B$7*$R94*$U94*1000-coord!$B$2-BA$90)^2+($U94*1000-coord!$B$7*$R94*$T94*1000-coord!$C$2-BA$91)^2+($V94*1000-coord!$D$2-BA$92)^2)</f>
        <v>23094639.663677864</v>
      </c>
      <c r="BE94" s="3">
        <f t="shared" si="51"/>
        <v>3.1976464955111226</v>
      </c>
      <c r="BG94" s="1"/>
      <c r="BH94" s="1"/>
      <c r="BI94" s="1"/>
      <c r="CG94" s="1"/>
      <c r="CH94" s="1"/>
      <c r="CI94" s="1"/>
    </row>
    <row r="95" spans="1:111">
      <c r="A95">
        <v>26</v>
      </c>
      <c r="B95">
        <f t="shared" si="41"/>
        <v>0.46666666666666667</v>
      </c>
      <c r="C95">
        <v>13</v>
      </c>
      <c r="D95">
        <f>tetto!D95*coord!$B$13-tetto!G95*coord!$B$14</f>
        <v>20143751.653136112</v>
      </c>
      <c r="E95" s="5">
        <f>90-DEGREES(ACOS((coord!$B$2*($T95*1000-coord!$B$2)+coord!$C$2*($U95*1000-coord!$C$2)+coord!$D$2*($V95*1000-coord!$D$2))/(SQRT(coord!$B$2^2+coord!$C$2^2+coord!$D$2^2)*SQRT(($T95*1000-coord!$B$2)^2+($U95*1000-coord!$C$2)^2+($V95*1000-coord!$D$2)^2))))</f>
        <v>75.567429420306638</v>
      </c>
      <c r="F95">
        <f>(coord!$C$2*($V95*1000-coord!$D$2)-coord!$D$2*($U95*1000-coord!$C$2))/(SQRT(coord!$B$2^2+coord!$C$2^2+coord!$D$2^2)*SQRT(($T95*1000-coord!$B$2)^2+($U95*1000-coord!$C$2)^2+($V95*1000-coord!$D$2)^2))</f>
        <v>-2.5502414476992166E-2</v>
      </c>
      <c r="G95">
        <f>(-coord!$B$2*($V95*1000-coord!$D$2)+coord!$D$2*($T95*1000-coord!$B$2))/(SQRT(coord!$B$2^2+coord!$C$2^2+coord!$D$2^2)*SQRT(($T95*1000-coord!$B$2)^2+($U95*1000-coord!$C$2)^2+($V95*1000-coord!$D$2)^2))</f>
        <v>-0.23687333543509695</v>
      </c>
      <c r="H95">
        <f>(coord!$B$2*($U95*1000-coord!$C$2)-coord!$C$2*($T95*1000-coord!$B$2))/(SQRT(coord!$B$2^2+coord!$C$2^2+coord!$D$2^2)*SQRT(($T95*1000-coord!$B$2)^2+($U95*1000-coord!$C$2)^2+($V95*1000-coord!$D$2)^2))</f>
        <v>7.3221939778716424E-2</v>
      </c>
      <c r="I95">
        <f t="shared" si="47"/>
        <v>0.10394768920669301</v>
      </c>
      <c r="J95">
        <f t="shared" si="48"/>
        <v>-0.22652937577726934</v>
      </c>
      <c r="K95">
        <f t="shared" si="49"/>
        <v>3.4995401367662882E-4</v>
      </c>
      <c r="L95">
        <f t="shared" si="50"/>
        <v>24.649002629192339</v>
      </c>
      <c r="M95" s="5">
        <f>'sv13'!$AA$3+'sv13'!$Z$3*($B95)+'sv13'!$Y$3*($B95)^2+'sv13'!$X$3*($B95)^3+'sv13'!$W$3*($B95)^4+'sv13'!$V$3*($B95)^5+'sv13'!$U$3*($B95)^6+'sv13'!$T$3*($B95)^7+'sv13'!$S$3*($B95)^8</f>
        <v>14278.687100157762</v>
      </c>
      <c r="N95" s="5">
        <f>'sv13'!$AA$4+'sv13'!$Z$4*($B95)+'sv13'!$Y$4*($B95)^2+'sv13'!$X$4*($B95)^3+'sv13'!$W$4*($B95)^4+'sv13'!$V$4*($B95)^5+'sv13'!$U$4*($B95)^6+'sv13'!$T$4*($B95)^7+'sv13'!$S$4*($B95)^8</f>
        <v>5157.7938000721224</v>
      </c>
      <c r="O95" s="5">
        <f>'sv13'!$AA$5+'sv13'!$Z$5*($B95)+'sv13'!$Y$5*($B95)^2+'sv13'!$X$5*($B95)^3+'sv13'!$W$5*($B95)^4+'sv13'!$V$5*($B95)^5+'sv13'!$U$5*($B95)^6+'sv13'!$T$5*($B95)^7+'sv13'!$S$5*($B95)^8</f>
        <v>21658.010697420184</v>
      </c>
      <c r="P95" s="5">
        <f>'sv13'!$AA$6+'sv13'!$Z$6*$B95+'sv13'!$Y$6*$B95^2+'sv13'!$X$6*$B95^3+'sv13'!$W$6*$B95^4+'sv13'!$V$6*$B95^5+'sv13'!$U$6*$B95^6+'sv13'!$T$6*$B95^7+'sv13'!$S$6*$B95^8</f>
        <v>304.21945676326413</v>
      </c>
      <c r="R95">
        <f>SQRT(($M95*1000-coord!$B$2)^2+($N95*1000-coord!$C$2)^2+($O95*1000-coord!$D$2)^2)/coord!$B$6</f>
        <v>6.7496595817934713E-2</v>
      </c>
      <c r="T95" s="5">
        <f>'sv13'!$AA$3+'sv13'!$Z$3*($B95-$R95/3600)+'sv13'!$Y$3*($B95-$R95/3600)^2+'sv13'!$X$3*($B95-$R95/3600)^3+'sv13'!$W$3*($B95-$R95/3600)^4+'sv13'!$V$3*($B95-$R95/3600)^5+'sv13'!$U$3*($B95-$R95/3600)^6+'sv13'!$T$3*($B95-$R95/3600)^7+'sv13'!$S$3*($B95-$R95/3600)^8+N95*coord!$B$7*R95</f>
        <v>14278.834167609151</v>
      </c>
      <c r="U95" s="5">
        <f>'sv13'!$AA$4+'sv13'!$Z$4*($B95-$R95/3600)+'sv13'!$Y$4*($B95-$R95/3600)^2+'sv13'!$X$4*($B95-$R95/3600)^3+'sv13'!$W$4*($B95-$R95/3600)^4+'sv13'!$V$4*($B95-$R95/3600)^5+'sv13'!$U$4*($B95-$R95/3600)^6+'sv13'!$T$4*($B95-$R95/3600)^7+'sv13'!$S$4*($B95-$R95/3600)^8-M95*coord!$B$7*R95</f>
        <v>5157.5811627186795</v>
      </c>
      <c r="V95" s="5">
        <f>'sv13'!$AA$5+'sv13'!$Z$5*($B95-$R95/3600)+'sv13'!$Y$5*($B95-$R95/3600)^2+'sv13'!$X$5*($B95-$R95/3600)^3+'sv13'!$W$5*($B95-$R95/3600)^4+'sv13'!$V$5*($B95-$R95/3600)^5+'sv13'!$U$5*($B95-$R95/3600)^6+'sv13'!$T$5*($B95-$R95/3600)^7+'sv13'!$S$5*($B95-$R95/3600)^8</f>
        <v>21657.964877379058</v>
      </c>
      <c r="W95">
        <f>coord!$B$6*P95/10^6</f>
        <v>91202.698714483675</v>
      </c>
      <c r="X95">
        <f>SQRT(($T95*1000+coord!$B$7*$R95*$U95*1000-coord!$B$2)^2+($U95*1000-coord!$B$7*$R95*$T95*1000-coord!$C$2)^2+($V95*1000-coord!$D$2)^2)</f>
        <v>20234956.660271812</v>
      </c>
      <c r="Y95" s="3">
        <f>$D95-(X95-$W95)-coord!$E$2</f>
        <v>-2.308421216905117</v>
      </c>
      <c r="Z95" s="3"/>
      <c r="AB95">
        <f>-(T95*1000-coord!$B$2)/$X95</f>
        <v>-0.48875597624711203</v>
      </c>
      <c r="AC95">
        <f>-(U95*1000-coord!$C$2)/$X95</f>
        <v>-0.20919298324120147</v>
      </c>
      <c r="AD95">
        <f>-(V95*1000-coord!$D$2)/$X95</f>
        <v>-0.84696878233139949</v>
      </c>
      <c r="AE95">
        <v>1</v>
      </c>
      <c r="BD95">
        <f>SQRT(($T95*1000+coord!$B$7*$R95*$U95*1000-coord!$B$2-BA$90)^2+($U95*1000-coord!$B$7*$R95*$T95*1000-coord!$C$2-BA$91)^2+($V95*1000-coord!$D$2-BA$92)^2)</f>
        <v>20234942.346333772</v>
      </c>
      <c r="BE95" s="3">
        <f t="shared" si="51"/>
        <v>1.651361607571431</v>
      </c>
      <c r="BG95" s="1"/>
      <c r="BH95" s="1"/>
      <c r="BI95" s="1"/>
      <c r="CG95" s="1"/>
      <c r="CH95" s="1"/>
      <c r="CI95" s="1"/>
    </row>
    <row r="96" spans="1:111">
      <c r="A96">
        <v>26</v>
      </c>
      <c r="B96">
        <f t="shared" si="41"/>
        <v>0.46666666666666667</v>
      </c>
      <c r="C96">
        <v>7</v>
      </c>
      <c r="D96">
        <f>tetto!D96*coord!$B$13-tetto!G96*coord!$B$14</f>
        <v>21796378.434098326</v>
      </c>
      <c r="E96" s="5">
        <f>90-DEGREES(ACOS((coord!$B$2*($T96*1000-coord!$B$2)+coord!$C$2*($U96*1000-coord!$C$2)+coord!$D$2*($V96*1000-coord!$D$2))/(SQRT(coord!$B$2^2+coord!$C$2^2+coord!$D$2^2)*SQRT(($T96*1000-coord!$B$2)^2+($U96*1000-coord!$C$2)^2+($V96*1000-coord!$D$2)^2))))</f>
        <v>44.506849022166499</v>
      </c>
      <c r="F96">
        <f>(coord!$C$2*($V96*1000-coord!$D$2)-coord!$D$2*($U96*1000-coord!$C$2))/(SQRT(coord!$B$2^2+coord!$C$2^2+coord!$D$2^2)*SQRT(($T96*1000-coord!$B$2)^2+($U96*1000-coord!$C$2)^2+($V96*1000-coord!$D$2)^2))</f>
        <v>-0.18005229999880393</v>
      </c>
      <c r="G96">
        <f>(-coord!$B$2*($V96*1000-coord!$D$2)+coord!$D$2*($T96*1000-coord!$B$2))/(SQRT(coord!$B$2^2+coord!$C$2^2+coord!$D$2^2)*SQRT(($T96*1000-coord!$B$2)^2+($U96*1000-coord!$C$2)^2+($V96*1000-coord!$D$2)^2))</f>
        <v>0.68923298014252932</v>
      </c>
      <c r="H96">
        <f>(coord!$B$2*($U96*1000-coord!$C$2)-coord!$C$2*($T96*1000-coord!$B$2))/(SQRT(coord!$B$2^2+coord!$C$2^2+coord!$D$2^2)*SQRT(($T96*1000-coord!$B$2)^2+($U96*1000-coord!$C$2)^2+($V96*1000-coord!$D$2)^2))</f>
        <v>3.3848951804338445E-2</v>
      </c>
      <c r="I96">
        <f t="shared" si="47"/>
        <v>4.8055800590802514E-2</v>
      </c>
      <c r="J96">
        <f t="shared" si="48"/>
        <v>0.71154571040154901</v>
      </c>
      <c r="K96">
        <f t="shared" si="49"/>
        <v>1.5883323283465492E-4</v>
      </c>
      <c r="L96">
        <f t="shared" si="50"/>
        <v>176.1362712094151</v>
      </c>
      <c r="M96" s="5">
        <f>'sv07'!$AA$3+'sv07'!$Z$3*($B96)+'sv07'!$Y$3*($B96)^2+'sv07'!$X$3*($B96)^3+'sv07'!$W$3*($B96)^4+'sv07'!$V$3*($B96)^5+'sv07'!$U$3*($B96)^6+'sv07'!$T$3*($B96)^7+'sv07'!$S$3*($B96)^8</f>
        <v>25476.186869044453</v>
      </c>
      <c r="N96" s="5">
        <f>'sv07'!$AA$4+'sv07'!$Z$4*($B96)+'sv07'!$Y$4*($B96)^2+'sv07'!$X$4*($B96)^3+'sv07'!$W$4*($B96)^4+'sv07'!$V$4*($B96)^5+'sv07'!$U$4*($B96)^6+'sv07'!$T$4*($B96)^7+'sv07'!$S$4*($B96)^8</f>
        <v>6437.3997354165549</v>
      </c>
      <c r="O96" s="5">
        <f>'sv07'!$AA$5+'sv07'!$Z$5*($B96)+'sv07'!$Y$5*($B96)^2+'sv07'!$X$5*($B96)^3+'sv07'!$W$5*($B96)^4+'sv07'!$V$5*($B96)^5+'sv07'!$U$5*($B96)^6+'sv07'!$T$5*($B96)^7+'sv07'!$S$5*($B96)^8</f>
        <v>4440.3175383837415</v>
      </c>
      <c r="P96" s="5">
        <f>'sv07'!$AA$6+'sv07'!$Z$6*$B96+'sv07'!$Y$6*$B96^2+'sv07'!$X$6*$B96^3+'sv07'!$W$6*$B96^4+'sv07'!$V$6*$B96^5+'sv07'!$U$6*$B96^6+'sv07'!$T$6*$B96^7+'sv07'!$S$6*$B96^8</f>
        <v>-0.63782911802882403</v>
      </c>
      <c r="R96">
        <f>SQRT(($M96*1000-coord!$B$2)^2+($N96*1000-coord!$C$2)^2+($O96*1000-coord!$D$2)^2)/coord!$B$6</f>
        <v>7.2704131033146907E-2</v>
      </c>
      <c r="T96" s="5">
        <f>'sv07'!$AA$3+'sv07'!$Z$3*($B96-$R96/3600)+'sv07'!$Y$3*($B96-$R96/3600)^2+'sv07'!$X$3*($B96-$R96/3600)^3+'sv07'!$W$3*($B96-$R96/3600)^4+'sv07'!$V$3*($B96-$R96/3600)^5+'sv07'!$U$3*($B96-$R96/3600)^6+'sv07'!$T$3*($B96-$R96/3600)^7+'sv07'!$S$3*($B96-$R96/3600)^8+N96*coord!$B$7*R96</f>
        <v>25476.26368369484</v>
      </c>
      <c r="U96" s="5">
        <f>'sv07'!$AA$4+'sv07'!$Z$4*($B96-$R96/3600)+'sv07'!$Y$4*($B96-$R96/3600)^2+'sv07'!$X$4*($B96-$R96/3600)^3+'sv07'!$W$4*($B96-$R96/3600)^4+'sv07'!$V$4*($B96-$R96/3600)^5+'sv07'!$U$4*($B96-$R96/3600)^6+'sv07'!$T$4*($B96-$R96/3600)^7+'sv07'!$S$4*($B96-$R96/3600)^8-M96*coord!$B$7*R96</f>
        <v>6437.2535694615681</v>
      </c>
      <c r="V96" s="5">
        <f>'sv07'!$AA$5+'sv07'!$Z$5*($B96-$R96/3600)+'sv07'!$Y$5*($B96-$R96/3600)^2+'sv07'!$X$5*($B96-$R96/3600)^3+'sv07'!$W$5*($B96-$R96/3600)^4+'sv07'!$V$5*($B96-$R96/3600)^5+'sv07'!$U$5*($B96-$R96/3600)^6+'sv07'!$T$5*($B96-$R96/3600)^7+'sv07'!$S$5*($B96-$R96/3600)^8</f>
        <v>4440.0905198152486</v>
      </c>
      <c r="W96">
        <f>coord!$B$6*P96/10^6</f>
        <v>-191.21635907783326</v>
      </c>
      <c r="X96">
        <f>SQRT(($T96*1000+coord!$B$7*$R96*$U96*1000-coord!$B$2)^2+($U96*1000-coord!$B$7*$R96*$T96*1000-coord!$C$2)^2+($V96*1000-coord!$D$2)^2)</f>
        <v>21796187.181629688</v>
      </c>
      <c r="Y96" s="3">
        <f>$D96-(X96-$W96)-coord!$E$2</f>
        <v>3.6109559237957001E-2</v>
      </c>
      <c r="Z96" s="3" t="s">
        <v>127</v>
      </c>
      <c r="AA96" s="1" t="s">
        <v>128</v>
      </c>
      <c r="AB96">
        <f>-(T96*1000-coord!$B$2)/$X96</f>
        <v>-0.96748047432202999</v>
      </c>
      <c r="AC96">
        <f>-(U96*1000-coord!$C$2)/$X96</f>
        <v>-0.25291961893719561</v>
      </c>
      <c r="AD96">
        <f>-(V96*1000-coord!$D$2)/$X96</f>
        <v>3.6473239022168859E-3</v>
      </c>
      <c r="AE96">
        <v>1</v>
      </c>
      <c r="BD96">
        <f>SQRT(($T96*1000+coord!$B$7*$R96*$U96*1000-coord!$B$2-BA$90)^2+($U96*1000-coord!$B$7*$R96*$T96*1000-coord!$C$2-BA$91)^2+($V96*1000-coord!$D$2-BA$92)^2)</f>
        <v>21796181.698914092</v>
      </c>
      <c r="BE96" s="3">
        <f t="shared" si="51"/>
        <v>-4.8353300610582153</v>
      </c>
      <c r="BF96" s="3" t="s">
        <v>127</v>
      </c>
      <c r="BG96" s="1" t="s">
        <v>128</v>
      </c>
      <c r="BH96" s="1"/>
      <c r="BI96" s="1"/>
      <c r="CG96" s="1"/>
      <c r="CH96" s="1"/>
      <c r="CI96" s="1"/>
    </row>
    <row r="97" spans="1:111">
      <c r="A97" s="7" t="s">
        <v>120</v>
      </c>
      <c r="Y97" s="3"/>
      <c r="Z97" s="3">
        <f>AVERAGE($Y90:$Y96)</f>
        <v>-2.316923625767231</v>
      </c>
      <c r="AA97" s="1">
        <f>SQRT(DEVSQ($Y90:$Y96)/6)</f>
        <v>16.754285201588647</v>
      </c>
      <c r="BE97" s="3"/>
      <c r="BF97" s="3">
        <f>AVERAGE($BE90:$BE96)</f>
        <v>7.0542121205465128E-5</v>
      </c>
      <c r="BG97" s="1">
        <f>SQRT(DEVSQ($BE90:$BE96)/6)</f>
        <v>3.4897979370979924</v>
      </c>
      <c r="BH97" s="1"/>
      <c r="BI97" s="1"/>
      <c r="CG97" s="1"/>
      <c r="CH97" s="1"/>
      <c r="CI97" s="1"/>
    </row>
    <row r="98" spans="1:111">
      <c r="A98">
        <v>28</v>
      </c>
      <c r="B98">
        <f t="shared" si="41"/>
        <v>0.48333333333333334</v>
      </c>
      <c r="C98">
        <v>2</v>
      </c>
      <c r="D98">
        <f>tetto!D98*coord!$B$13-tetto!G98*coord!$B$14</f>
        <v>22548432.574638896</v>
      </c>
      <c r="E98" s="5">
        <f>90-DEGREES(ACOS((coord!$B$2*($T98*1000-coord!$B$2)+coord!$C$2*($U98*1000-coord!$C$2)+coord!$D$2*($V98*1000-coord!$D$2))/(SQRT(coord!$B$2^2+coord!$C$2^2+coord!$D$2^2)*SQRT(($T98*1000-coord!$B$2)^2+($U98*1000-coord!$C$2)^2+($V98*1000-coord!$D$2)^2))))</f>
        <v>31.066974552672043</v>
      </c>
      <c r="F98">
        <f>(coord!$C$2*($V98*1000-coord!$D$2)-coord!$D$2*($U98*1000-coord!$C$2))/(SQRT(coord!$B$2^2+coord!$C$2^2+coord!$D$2^2)*SQRT(($T98*1000-coord!$B$2)^2+($U98*1000-coord!$C$2)^2+($V98*1000-coord!$D$2)^2))</f>
        <v>0.58587452853953914</v>
      </c>
      <c r="G98">
        <f>(-coord!$B$2*($V98*1000-coord!$D$2)+coord!$D$2*($T98*1000-coord!$B$2))/(SQRT(coord!$B$2^2+coord!$C$2^2+coord!$D$2^2)*SQRT(($T98*1000-coord!$B$2)^2+($U98*1000-coord!$C$2)^2+($V98*1000-coord!$D$2)^2))</f>
        <v>-0.38842256042908446</v>
      </c>
      <c r="H98">
        <f>(coord!$B$2*($U98*1000-coord!$C$2)-coord!$C$2*($T98*1000-coord!$B$2))/(SQRT(coord!$B$2^2+coord!$C$2^2+coord!$D$2^2)*SQRT(($T98*1000-coord!$B$2)^2+($U98*1000-coord!$C$2)^2+($V98*1000-coord!$D$2)^2))</f>
        <v>-0.48947113439662737</v>
      </c>
      <c r="I98">
        <f t="shared" ref="I98:I104" si="52">$F98*$CA$2+$G98*$CB$2+$H98*$CC$2</f>
        <v>-0.69487278279737918</v>
      </c>
      <c r="J98">
        <f t="shared" ref="J98:J104" si="53">$F98*$CA$3+$G98*$CB$3+$H98*$CC$3</f>
        <v>-0.50084869683229816</v>
      </c>
      <c r="K98">
        <f t="shared" ref="K98:K104" si="54">$F98*$CA$4+$G98*$CB$4+$H98*$CC$4</f>
        <v>-2.3320930619254443E-3</v>
      </c>
      <c r="L98">
        <f t="shared" ref="L98:L104" si="55">90+DEGREES(ATAN2(I98,J98))</f>
        <v>-54.216783525074931</v>
      </c>
      <c r="M98" s="5">
        <f>'sv02'!$AA$3+'sv02'!$Z$3*($B98)+'sv02'!$Y$3*($B98)^2+'sv02'!$X$3*($B98)^3+'sv02'!$W$3*($B98)^4+'sv02'!$V$3*($B98)^5+'sv02'!$U$3*($B98)^6+'sv02'!$T$3*($B98)^7+'sv02'!$S$3*($B98)^8</f>
        <v>7807.0500105290721</v>
      </c>
      <c r="N98" s="5">
        <f>'sv02'!$AA$4+'sv02'!$Z$4*($B98)+'sv02'!$Y$4*($B98)^2+'sv02'!$X$4*($B98)^3+'sv02'!$W$4*($B98)^4+'sv02'!$V$4*($B98)^5+'sv02'!$U$4*($B98)^6+'sv02'!$T$4*($B98)^7+'sv02'!$S$4*($B98)^8</f>
        <v>-14422.424297567884</v>
      </c>
      <c r="O98" s="5">
        <f>'sv02'!$AA$5+'sv02'!$Z$5*($B98)+'sv02'!$Y$5*($B98)^2+'sv02'!$X$5*($B98)^3+'sv02'!$W$5*($B98)^4+'sv02'!$V$5*($B98)^5+'sv02'!$U$5*($B98)^6+'sv02'!$T$5*($B98)^7+'sv02'!$S$5*($B98)^8</f>
        <v>20789.343876004132</v>
      </c>
      <c r="P98" s="5">
        <f>'sv02'!$AA$6+'sv02'!$Z$6*$B98+'sv02'!$Y$6*$B98^2+'sv02'!$X$6*$B98^3+'sv02'!$W$6*$B98^4+'sv02'!$V$6*$B98^5+'sv02'!$U$6*$B98^6+'sv02'!$T$6*$B98^7+'sv02'!$S$6*$B98^8</f>
        <v>257.59250074537914</v>
      </c>
      <c r="R98">
        <f>SQRT(($M98*1000-coord!$B$2)^2+($N98*1000-coord!$C$2)^2+($O98*1000-coord!$D$2)^2)/coord!$B$6</f>
        <v>7.547097457808799E-2</v>
      </c>
      <c r="T98" s="5">
        <f>'sv02'!$AA$3+'sv02'!$Z$3*($B98-$R98/3600)+'sv02'!$Y$3*($B98-$R98/3600)^2+'sv02'!$X$3*($B98-$R98/3600)^3+'sv02'!$W$3*($B98-$R98/3600)^4+'sv02'!$V$3*($B98-$R98/3600)^5+'sv02'!$U$3*($B98-$R98/3600)^6+'sv02'!$T$3*($B98-$R98/3600)^7+'sv02'!$S$3*($B98-$R98/3600)^8+N98*coord!$B$7*R98</f>
        <v>7806.7717657993207</v>
      </c>
      <c r="U98" s="5">
        <f>'sv02'!$AA$4+'sv02'!$Z$4*($B98-$R98/3600)+'sv02'!$Y$4*($B98-$R98/3600)^2+'sv02'!$X$4*($B98-$R98/3600)^3+'sv02'!$W$4*($B98-$R98/3600)^4+'sv02'!$V$4*($B98-$R98/3600)^5+'sv02'!$U$4*($B98-$R98/3600)^6+'sv02'!$T$4*($B98-$R98/3600)^7+'sv02'!$S$4*($B98-$R98/3600)^8-M98*coord!$B$7*R98</f>
        <v>-14422.49686632325</v>
      </c>
      <c r="V98" s="5">
        <f>'sv02'!$AA$5+'sv02'!$Z$5*($B98-$R98/3600)+'sv02'!$Y$5*($B98-$R98/3600)^2+'sv02'!$X$5*($B98-$R98/3600)^3+'sv02'!$W$5*($B98-$R98/3600)^4+'sv02'!$V$5*($B98-$R98/3600)^5+'sv02'!$U$5*($B98-$R98/3600)^6+'sv02'!$T$5*($B98-$R98/3600)^7+'sv02'!$S$5*($B98-$R98/3600)^8</f>
        <v>20789.401403302239</v>
      </c>
      <c r="W98">
        <f>coord!$B$6*P98/10^6</f>
        <v>77224.288960824051</v>
      </c>
      <c r="X98">
        <f>SQRT(($T98*1000+coord!$B$7*$R98*$U98*1000-coord!$B$2)^2+($U98*1000-coord!$B$7*$R98*$T98*1000-coord!$C$2)^2+($V98*1000-coord!$D$2)^2)</f>
        <v>22625694.685381744</v>
      </c>
      <c r="Y98" s="3">
        <f>$D98-(X98-$W98)-coord!$E$2</f>
        <v>-37.821782022714615</v>
      </c>
      <c r="Z98" s="3"/>
      <c r="AB98">
        <f>-(T98*1000-coord!$B$2)/$X98</f>
        <v>-0.15106248194923225</v>
      </c>
      <c r="AC98">
        <f>-(U98*1000-coord!$C$2)/$X98</f>
        <v>0.67830258000603394</v>
      </c>
      <c r="AD98">
        <f>-(V98*1000-coord!$D$2)/$X98</f>
        <v>-0.71908568356639324</v>
      </c>
      <c r="AE98">
        <v>1</v>
      </c>
      <c r="AG98">
        <f t="array" ref="AG98:AM101">TRANSPOSE(AB98:AE104)</f>
        <v>-0.15106248194923225</v>
      </c>
      <c r="AH98">
        <v>-0.18591643210221856</v>
      </c>
      <c r="AI98">
        <v>-0.15988721883295001</v>
      </c>
      <c r="AJ98">
        <v>-0.8308285737691925</v>
      </c>
      <c r="AK98">
        <v>-0.42328388085991125</v>
      </c>
      <c r="AL98">
        <v>-0.48322028372238029</v>
      </c>
      <c r="AM98">
        <v>-0.96726650083993959</v>
      </c>
      <c r="AO98">
        <f t="array" ref="AO98:AR101">MMULT(AG98:AM101,AB98:AE104)</f>
        <v>2.1215004049594732</v>
      </c>
      <c r="AP98">
        <v>0.30734041900373954</v>
      </c>
      <c r="AQ98">
        <v>1.1257669792162794</v>
      </c>
      <c r="AR98">
        <v>-3.2014653720758246</v>
      </c>
      <c r="AT98">
        <f t="array" ref="AT98:AW101">MINVERSE(AO98:AR101)</f>
        <v>2.5688528267494202</v>
      </c>
      <c r="AU98">
        <v>9.19801307559691E-2</v>
      </c>
      <c r="AV98">
        <v>1.5918293502586396</v>
      </c>
      <c r="AW98">
        <v>1.9585157777795001</v>
      </c>
      <c r="AY98">
        <f t="array" ref="AY98:AY101">MMULT(AG98:AM101,Y98:Y104)</f>
        <v>-1.7200942388308391</v>
      </c>
      <c r="BA98">
        <f t="array" ref="BA98:BA101">MMULT(AT98:AW101,AY98:AY101)</f>
        <v>8.0391064388376492</v>
      </c>
      <c r="BD98">
        <f>SQRT(($T98*1000+coord!$B$7*$R98*$U98*1000-coord!$B$2-BA$98)^2+($U98*1000-coord!$B$7*$R98*$T98*1000-coord!$C$2-BA$99)^2+($V98*1000-coord!$D$2-BA$100)^2)</f>
        <v>22625651.472195964</v>
      </c>
      <c r="BE98" s="3">
        <f>$D98-(BD98-$W98)-BA$101</f>
        <v>-4.6434122317812836</v>
      </c>
      <c r="BG98" s="1">
        <f>coord!$B$2+$BA98</f>
        <v>4388886.2099064393</v>
      </c>
      <c r="BH98" s="1">
        <f>coord!$C$2+$BA99</f>
        <v>924531.94418132387</v>
      </c>
      <c r="BI98" s="1">
        <f>coord!$D$2+$BA100</f>
        <v>4519610.5814655125</v>
      </c>
      <c r="BJ98" s="1">
        <f>coord!$E$2+$BA101</f>
        <v>10.034815988817016</v>
      </c>
      <c r="BK98" s="8">
        <f>lat($BG98,$BH98,$BI98)</f>
        <v>45.411312318166161</v>
      </c>
      <c r="BL98" s="8">
        <f>lon($BG98,$BH98,$BI98)</f>
        <v>11.895606998454321</v>
      </c>
      <c r="BM98" s="6">
        <f>h($BG98,$BH98,$BI98)</f>
        <v>77.992047369480133</v>
      </c>
      <c r="BO98">
        <f>grado($BK98)</f>
        <v>45</v>
      </c>
      <c r="BP98">
        <f>MINUTOprimo($BK98)</f>
        <v>24</v>
      </c>
      <c r="BQ98">
        <f>MINUTOsecondo($BK98)</f>
        <v>40.724345398178343</v>
      </c>
      <c r="BR98">
        <f>grado($BL98)</f>
        <v>11</v>
      </c>
      <c r="BS98">
        <f>MINUTOprimo($BL98)</f>
        <v>53</v>
      </c>
      <c r="BT98">
        <f>MINUTOsecondo($BL98)</f>
        <v>44.185194435555246</v>
      </c>
      <c r="BV98">
        <f>-SIN(RADIANS(BK98))*COS(RADIANS(BL98))</f>
        <v>-0.69687077924308372</v>
      </c>
      <c r="BW98">
        <f>-SIN(RADIANS(BL98))</f>
        <v>-0.20612916021600802</v>
      </c>
      <c r="BX98">
        <f>COS(RADIANS(BK98))*COS(RADIANS(BL98))</f>
        <v>0.68693659557908293</v>
      </c>
      <c r="BZ98" t="s">
        <v>93</v>
      </c>
      <c r="CA98">
        <f t="array" ref="CA98:CC100">MINVERSE(BV98:BX100)</f>
        <v>-0.69687077924308372</v>
      </c>
      <c r="CB98">
        <v>-0.14679790396991249</v>
      </c>
      <c r="CC98">
        <v>0.70201245888315811</v>
      </c>
      <c r="CD98">
        <v>0</v>
      </c>
      <c r="CE98" s="1">
        <f t="array" ref="CE98:CE100">MMULT(CA98:CC100,BA98:BA100)</f>
        <v>15.675501472290819</v>
      </c>
      <c r="CG98" s="1">
        <f t="array" ref="CG98:CI98">TRANSPOSE(CE98:CE100)</f>
        <v>15.675501472290819</v>
      </c>
      <c r="CH98" s="1">
        <v>-39.104277813927567</v>
      </c>
      <c r="CI98" s="1">
        <v>15.871003944738256</v>
      </c>
      <c r="CK98">
        <f t="array" ref="CK98:CN101">MMULT(CA98:CD101,AT98:AW101)</f>
        <v>-0.68617692524207397</v>
      </c>
      <c r="CL98">
        <v>0.14303523358848641</v>
      </c>
      <c r="CM98">
        <v>0.62752135500321837</v>
      </c>
      <c r="CN98">
        <v>-2.639577727894693E-3</v>
      </c>
      <c r="CP98">
        <f t="array" ref="CP98:CS101">TRANSPOSE(CA98:CD101)</f>
        <v>-0.69687077924308372</v>
      </c>
      <c r="CQ98">
        <v>-0.20612916021600799</v>
      </c>
      <c r="CR98">
        <v>0.68693659557908293</v>
      </c>
      <c r="CS98">
        <v>0</v>
      </c>
      <c r="CU98" s="5">
        <f t="array" ref="CU98:CX101">MMULT(CK98:CN101,CP98:CS101)</f>
        <v>0.89770718553493123</v>
      </c>
      <c r="CV98" s="5">
        <v>0.28140459561041165</v>
      </c>
      <c r="CW98" s="5">
        <v>-3.7635589205319286E-3</v>
      </c>
      <c r="CX98" s="5">
        <v>-2.639577727894693E-3</v>
      </c>
      <c r="CZ98" s="3">
        <f>SQRT(CU98+CV99)</f>
        <v>1.1984760278922728</v>
      </c>
      <c r="DA98" s="3">
        <f>CW100</f>
        <v>4.1768744455505313</v>
      </c>
      <c r="DB98" s="3">
        <f>CX101</f>
        <v>2.0220974796710549</v>
      </c>
      <c r="DC98" s="3">
        <f>BG105</f>
        <v>3.6845956622239533</v>
      </c>
      <c r="DD98">
        <v>6</v>
      </c>
      <c r="DE98" s="6">
        <f>DB98*DD98*DC98</f>
        <v>44.703669613139745</v>
      </c>
      <c r="DF98">
        <v>5.33</v>
      </c>
      <c r="DG98" s="6">
        <f>DC98*DF98*SQRT(0.5*(CU98+CV99)+SQRT((0.5*(CU98-CV99))^2+CV98^2))</f>
        <v>20.142754561072508</v>
      </c>
    </row>
    <row r="99" spans="1:111">
      <c r="A99">
        <v>28</v>
      </c>
      <c r="B99">
        <f t="shared" si="41"/>
        <v>0.48333333333333334</v>
      </c>
      <c r="C99">
        <v>23</v>
      </c>
      <c r="D99">
        <f>tetto!D99*coord!$B$13-tetto!G99*coord!$B$14</f>
        <v>21148481.176623005</v>
      </c>
      <c r="E99" s="5">
        <f>90-DEGREES(ACOS((coord!$B$2*($T99*1000-coord!$B$2)+coord!$C$2*($U99*1000-coord!$C$2)+coord!$D$2*($V99*1000-coord!$D$2))/(SQRT(coord!$B$2^2+coord!$C$2^2+coord!$D$2^2)*SQRT(($T99*1000-coord!$B$2)^2+($U99*1000-coord!$C$2)^2+($V99*1000-coord!$D$2)^2))))</f>
        <v>50.796193439445325</v>
      </c>
      <c r="F99">
        <f>(coord!$C$2*($V99*1000-coord!$D$2)-coord!$D$2*($U99*1000-coord!$C$2))/(SQRT(coord!$B$2^2+coord!$C$2^2+coord!$D$2^2)*SQRT(($T99*1000-coord!$B$2)^2+($U99*1000-coord!$C$2)^2+($V99*1000-coord!$D$2)^2))</f>
        <v>-0.29743328988432566</v>
      </c>
      <c r="G99">
        <f>(-coord!$B$2*($V99*1000-coord!$D$2)+coord!$D$2*($T99*1000-coord!$B$2))/(SQRT(coord!$B$2^2+coord!$C$2^2+coord!$D$2^2)*SQRT(($T99*1000-coord!$B$2)^2+($U99*1000-coord!$C$2)^2+($V99*1000-coord!$D$2)^2))</f>
        <v>-0.41414685953305325</v>
      </c>
      <c r="H99">
        <f>(coord!$B$2*($U99*1000-coord!$C$2)-coord!$C$2*($T99*1000-coord!$B$2))/(SQRT(coord!$B$2^2+coord!$C$2^2+coord!$D$2^2)*SQRT(($T99*1000-coord!$B$2)^2+($U99*1000-coord!$C$2)^2+($V99*1000-coord!$D$2)^2))</f>
        <v>0.37355312497322957</v>
      </c>
      <c r="I99">
        <f t="shared" si="52"/>
        <v>0.53030828813182329</v>
      </c>
      <c r="J99">
        <f t="shared" si="53"/>
        <v>-0.34394194698245018</v>
      </c>
      <c r="K99">
        <f t="shared" si="54"/>
        <v>1.7824181287540708E-3</v>
      </c>
      <c r="L99">
        <f t="shared" si="55"/>
        <v>57.033775515039764</v>
      </c>
      <c r="M99" s="5">
        <f>'sv23'!$AA$3+'sv23'!$Z$3*($B99)+'sv23'!$Y$3*($B99)^2+'sv23'!$X$3*($B99)^3+'sv23'!$W$3*($B99)^4+'sv23'!$V$3*($B99)^5+'sv23'!$U$3*($B99)^6+'sv23'!$T$3*($B99)^7+'sv23'!$S$3*($B99)^8</f>
        <v>8341.1615772005953</v>
      </c>
      <c r="N99" s="5">
        <f>'sv23'!$AA$4+'sv23'!$Z$4*($B99)+'sv23'!$Y$4*($B99)^2+'sv23'!$X$4*($B99)^3+'sv23'!$W$4*($B99)^4+'sv23'!$V$4*($B99)^5+'sv23'!$U$4*($B99)^6+'sv23'!$T$4*($B99)^7+'sv23'!$S$4*($B99)^8</f>
        <v>13278.98712817985</v>
      </c>
      <c r="O99" s="5">
        <f>'sv23'!$AA$5+'sv23'!$Z$5*($B99)+'sv23'!$Y$5*($B99)^2+'sv23'!$X$5*($B99)^3+'sv23'!$W$5*($B99)^4+'sv23'!$V$5*($B99)^5+'sv23'!$U$5*($B99)^6+'sv23'!$T$5*($B99)^7+'sv23'!$S$5*($B99)^8</f>
        <v>21363.356701660712</v>
      </c>
      <c r="P99" s="5">
        <f>'sv23'!$AA$6+'sv23'!$Z$6*$B99+'sv23'!$Y$6*$B99^2+'sv23'!$X$6*$B99^3+'sv23'!$W$6*$B99^4+'sv23'!$V$6*$B99^5+'sv23'!$U$6*$B99^6+'sv23'!$T$6*$B99^7+'sv23'!$S$6*$B99^8</f>
        <v>370.05642770582597</v>
      </c>
      <c r="R99">
        <f>SQRT(($M99*1000-coord!$B$2)^2+($N99*1000-coord!$C$2)^2+($O99*1000-coord!$D$2)^2)/coord!$B$6</f>
        <v>7.0913929847179744E-2</v>
      </c>
      <c r="T99" s="5">
        <f>'sv23'!$AA$3+'sv23'!$Z$3*($B99-$R99/3600)+'sv23'!$Y$3*($B99-$R99/3600)^2+'sv23'!$X$3*($B99-$R99/3600)^3+'sv23'!$W$3*($B99-$R99/3600)^4+'sv23'!$V$3*($B99-$R99/3600)^5+'sv23'!$U$3*($B99-$R99/3600)^6+'sv23'!$T$3*($B99-$R99/3600)^7+'sv23'!$S$3*($B99-$R99/3600)^8+N99*coord!$B$7*R99</f>
        <v>8341.3518492296625</v>
      </c>
      <c r="U99" s="5">
        <f>'sv23'!$AA$4+'sv23'!$Z$4*($B99-$R99/3600)+'sv23'!$Y$4*($B99-$R99/3600)^2+'sv23'!$X$4*($B99-$R99/3600)^3+'sv23'!$W$4*($B99-$R99/3600)^4+'sv23'!$V$4*($B99-$R99/3600)^5+'sv23'!$U$4*($B99-$R99/3600)^6+'sv23'!$T$4*($B99-$R99/3600)^7+'sv23'!$S$4*($B99-$R99/3600)^8-M99*coord!$B$7*R99</f>
        <v>13278.793984401998</v>
      </c>
      <c r="V99" s="5">
        <f>'sv23'!$AA$5+'sv23'!$Z$5*($B99-$R99/3600)+'sv23'!$Y$5*($B99-$R99/3600)^2+'sv23'!$X$5*($B99-$R99/3600)^3+'sv23'!$W$5*($B99-$R99/3600)^4+'sv23'!$V$5*($B99-$R99/3600)^5+'sv23'!$U$5*($B99-$R99/3600)^6+'sv23'!$T$5*($B99-$R99/3600)^7+'sv23'!$S$5*($B99-$R99/3600)^8</f>
        <v>21363.404603287618</v>
      </c>
      <c r="W99">
        <f>coord!$B$6*P99/10^6</f>
        <v>110940.12606062886</v>
      </c>
      <c r="X99">
        <f>SQRT(($T99*1000+coord!$B$7*$R99*$U99*1000-coord!$B$2)^2+($U99*1000-coord!$B$7*$R99*$T99*1000-coord!$C$2)^2+($V99*1000-coord!$D$2)^2)</f>
        <v>21259410.12172908</v>
      </c>
      <c r="Y99" s="3">
        <f>$D99-(X99-$W99)-coord!$E$2</f>
        <v>11.180954553186893</v>
      </c>
      <c r="Z99" s="3"/>
      <c r="AB99">
        <f>-(T99*1000-coord!$B$2)/$X99</f>
        <v>-0.18591643210221856</v>
      </c>
      <c r="AC99">
        <f>-(U99*1000-coord!$C$2)/$X99</f>
        <v>-0.5811179002833593</v>
      </c>
      <c r="AD99">
        <f>-(V99*1000-coord!$D$2)/$X99</f>
        <v>-0.7922993268647508</v>
      </c>
      <c r="AE99">
        <v>1</v>
      </c>
      <c r="AG99">
        <v>0.67830258000603394</v>
      </c>
      <c r="AH99">
        <v>-0.5811179002833593</v>
      </c>
      <c r="AI99">
        <v>0.75597308120866891</v>
      </c>
      <c r="AJ99">
        <v>0.37335407534084725</v>
      </c>
      <c r="AK99">
        <v>-0.90565116436872939</v>
      </c>
      <c r="AL99">
        <v>-0.21537492644283507</v>
      </c>
      <c r="AM99">
        <v>-0.2537146878954184</v>
      </c>
      <c r="AO99">
        <v>0.30734041900373954</v>
      </c>
      <c r="AP99">
        <v>2.4396425024748916</v>
      </c>
      <c r="AQ99">
        <v>-0.4545727328798701</v>
      </c>
      <c r="AR99">
        <v>-0.14822894243479212</v>
      </c>
      <c r="AT99">
        <v>9.1980130755969058E-2</v>
      </c>
      <c r="AU99">
        <v>0.48729923670309844</v>
      </c>
      <c r="AV99">
        <v>0.39695592579762673</v>
      </c>
      <c r="AW99">
        <v>0.24731877989651732</v>
      </c>
      <c r="AY99">
        <v>-102.51966150038548</v>
      </c>
      <c r="BA99">
        <v>-38.269018676163526</v>
      </c>
      <c r="BD99">
        <f>SQRT(($T99*1000+coord!$B$7*$R99*$U99*1000-coord!$B$2-BA$98)^2+($U99*1000-coord!$B$7*$R99*$T99*1000-coord!$C$2-BA$99)^2+($V99*1000-coord!$D$2-BA$100)^2)</f>
        <v>21259413.191930488</v>
      </c>
      <c r="BE99" s="3">
        <f t="shared" ref="BE99:BE104" si="56">$D99-(BD99-$W99)-BA$101</f>
        <v>-1.924062843748132</v>
      </c>
      <c r="BG99" s="1"/>
      <c r="BH99" s="1"/>
      <c r="BI99" s="1"/>
      <c r="BV99">
        <f>-SIN(RADIANS(BK98))*SIN(RADIANS(BL98))</f>
        <v>-0.14679790396991249</v>
      </c>
      <c r="BW99">
        <f>COS(RADIANS(BL98))</f>
        <v>0.97852479238322998</v>
      </c>
      <c r="BX99">
        <f>COS(RADIANS(BK98))*SIN(RADIANS(BL98))</f>
        <v>0.14470523861076021</v>
      </c>
      <c r="BZ99" t="s">
        <v>94</v>
      </c>
      <c r="CA99">
        <v>-0.20612916021600799</v>
      </c>
      <c r="CB99">
        <v>0.97852479238322998</v>
      </c>
      <c r="CC99">
        <v>2.8364713732014164E-17</v>
      </c>
      <c r="CD99">
        <v>0</v>
      </c>
      <c r="CE99" s="1">
        <v>-39.104277813927567</v>
      </c>
      <c r="CG99" s="1"/>
      <c r="CH99" s="1"/>
      <c r="CI99" s="1"/>
      <c r="CK99">
        <v>-0.43951063754500924</v>
      </c>
      <c r="CL99">
        <v>0.45787459731411934</v>
      </c>
      <c r="CM99">
        <v>6.0308767700408564E-2</v>
      </c>
      <c r="CN99">
        <v>-0.1616996547927767</v>
      </c>
      <c r="CP99">
        <v>-0.14679790396991249</v>
      </c>
      <c r="CQ99">
        <v>0.97852479238322998</v>
      </c>
      <c r="CR99">
        <v>0.14470523861076021</v>
      </c>
      <c r="CS99">
        <v>0</v>
      </c>
      <c r="CU99" s="5">
        <v>0.28140459561041165</v>
      </c>
      <c r="CV99" s="5">
        <v>0.5386376038975087</v>
      </c>
      <c r="CW99" s="5">
        <v>-0.19270931497781962</v>
      </c>
      <c r="CX99" s="5">
        <v>-0.1616996547927767</v>
      </c>
    </row>
    <row r="100" spans="1:111">
      <c r="A100">
        <v>28</v>
      </c>
      <c r="B100">
        <f t="shared" si="41"/>
        <v>0.48333333333333334</v>
      </c>
      <c r="C100">
        <v>10</v>
      </c>
      <c r="D100">
        <f>tetto!D100*coord!$B$13-tetto!G100*coord!$B$14</f>
        <v>22856656.437578797</v>
      </c>
      <c r="E100" s="5">
        <f>90-DEGREES(ACOS((coord!$B$2*($T100*1000-coord!$B$2)+coord!$C$2*($U100*1000-coord!$C$2)+coord!$D$2*($V100*1000-coord!$D$2))/(SQRT(coord!$B$2^2+coord!$C$2^2+coord!$D$2^2)*SQRT(($T100*1000-coord!$B$2)^2+($U100*1000-coord!$C$2)^2+($V100*1000-coord!$D$2)^2))))</f>
        <v>26.807881872044945</v>
      </c>
      <c r="F100">
        <f>(coord!$C$2*($V100*1000-coord!$D$2)-coord!$D$2*($U100*1000-coord!$C$2))/(SQRT(coord!$B$2^2+coord!$C$2^2+coord!$D$2^2)*SQRT(($T100*1000-coord!$B$2)^2+($U100*1000-coord!$C$2)^2+($V100*1000-coord!$D$2)^2))</f>
        <v>0.62876299350209186</v>
      </c>
      <c r="G100">
        <f>(-coord!$B$2*($V100*1000-coord!$D$2)+coord!$D$2*($T100*1000-coord!$B$2))/(SQRT(coord!$B$2^2+coord!$C$2^2+coord!$D$2^2)*SQRT(($T100*1000-coord!$B$2)^2+($U100*1000-coord!$C$2)^2+($V100*1000-coord!$D$2)^2))</f>
        <v>-0.32404550393297016</v>
      </c>
      <c r="H100">
        <f>(coord!$B$2*($U100*1000-coord!$C$2)-coord!$C$2*($T100*1000-coord!$B$2))/(SQRT(coord!$B$2^2+coord!$C$2^2+coord!$D$2^2)*SQRT(($T100*1000-coord!$B$2)^2+($U100*1000-coord!$C$2)^2+($V100*1000-coord!$D$2)^2))</f>
        <v>-0.5442888172178445</v>
      </c>
      <c r="I100">
        <f t="shared" si="52"/>
        <v>-0.77269375272835528</v>
      </c>
      <c r="J100">
        <f t="shared" si="53"/>
        <v>-0.44669491214283519</v>
      </c>
      <c r="K100">
        <f t="shared" si="54"/>
        <v>-2.5936702875627438E-3</v>
      </c>
      <c r="L100">
        <f t="shared" si="55"/>
        <v>-59.967756820625311</v>
      </c>
      <c r="M100" s="5">
        <f>'sv10'!$AA$3+'sv10'!$Z$3*($B100)+'sv10'!$Y$3*($B100)^2+'sv10'!$X$3*($B100)^3+'sv10'!$W$3*($B100)^4+'sv10'!$V$3*($B100)^5+'sv10'!$U$3*($B100)^6+'sv10'!$T$3*($B100)^7+'sv10'!$S$3*($B100)^8</f>
        <v>8041.4810147186508</v>
      </c>
      <c r="N100" s="5">
        <f>'sv10'!$AA$4+'sv10'!$Z$4*($B100)+'sv10'!$Y$4*($B100)^2+'sv10'!$X$4*($B100)^3+'sv10'!$W$4*($B100)^4+'sv10'!$V$4*($B100)^5+'sv10'!$U$4*($B100)^6+'sv10'!$T$4*($B100)^7+'sv10'!$S$4*($B100)^8</f>
        <v>-16344.509822880591</v>
      </c>
      <c r="O100" s="5">
        <f>'sv10'!$AA$5+'sv10'!$Z$5*($B100)+'sv10'!$Y$5*($B100)^2+'sv10'!$X$5*($B100)^3+'sv10'!$W$5*($B100)^4+'sv10'!$V$5*($B100)^5+'sv10'!$U$5*($B100)^6+'sv10'!$T$5*($B100)^7+'sv10'!$S$5*($B100)^8</f>
        <v>19020.368792969526</v>
      </c>
      <c r="P100" s="5">
        <f>'sv10'!$AA$6+'sv10'!$Z$6*$B100+'sv10'!$Y$6*$B100^2+'sv10'!$X$6*$B100^3+'sv10'!$W$6*$B100^4+'sv10'!$V$6*$B100^5+'sv10'!$U$6*$B100^6+'sv10'!$T$6*$B100^7+'sv10'!$S$6*$B100^8</f>
        <v>-43.001545616412827</v>
      </c>
      <c r="R100">
        <f>SQRT(($M100*1000-coord!$B$2)^2+($N100*1000-coord!$C$2)^2+($O100*1000-coord!$D$2)^2)/coord!$B$6</f>
        <v>7.6198427852774836E-2</v>
      </c>
      <c r="T100" s="5">
        <f>'sv10'!$AA$3+'sv10'!$Z$3*($B100-$R100/3600)+'sv10'!$Y$3*($B100-$R100/3600)^2+'sv10'!$X$3*($B100-$R100/3600)^3+'sv10'!$W$3*($B100-$R100/3600)^4+'sv10'!$V$3*($B100-$R100/3600)^5+'sv10'!$U$3*($B100-$R100/3600)^6+'sv10'!$T$3*($B100-$R100/3600)^7+'sv10'!$S$3*($B100-$R100/3600)^8+N100*coord!$B$7*R100</f>
        <v>8041.309205286776</v>
      </c>
      <c r="U100" s="5">
        <f>'sv10'!$AA$4+'sv10'!$Z$4*($B100-$R100/3600)+'sv10'!$Y$4*($B100-$R100/3600)^2+'sv10'!$X$4*($B100-$R100/3600)^3+'sv10'!$W$4*($B100-$R100/3600)^4+'sv10'!$V$4*($B100-$R100/3600)^5+'sv10'!$U$4*($B100-$R100/3600)^6+'sv10'!$T$4*($B100-$R100/3600)^7+'sv10'!$S$4*($B100-$R100/3600)^8-M100*coord!$B$7*R100</f>
        <v>-16344.724751070842</v>
      </c>
      <c r="V100" s="5">
        <f>'sv10'!$AA$5+'sv10'!$Z$5*($B100-$R100/3600)+'sv10'!$Y$5*($B100-$R100/3600)^2+'sv10'!$X$5*($B100-$R100/3600)^3+'sv10'!$W$5*($B100-$R100/3600)^4+'sv10'!$V$5*($B100-$R100/3600)^5+'sv10'!$U$5*($B100-$R100/3600)^6+'sv10'!$T$5*($B100-$R100/3600)^7+'sv10'!$S$5*($B100-$R100/3600)^8</f>
        <v>19020.255218756447</v>
      </c>
      <c r="W100">
        <f>coord!$B$6*P100/10^6</f>
        <v>-12891.539058143526</v>
      </c>
      <c r="X100">
        <f>SQRT(($T100*1000+coord!$B$7*$R100*$U100*1000-coord!$B$2)^2+($U100*1000-coord!$B$7*$R100*$T100*1000-coord!$C$2)^2+($V100*1000-coord!$D$2)^2)</f>
        <v>22843796.152979754</v>
      </c>
      <c r="Y100" s="3">
        <f>$D100-(X100-$W100)-coord!$E$2</f>
        <v>-31.254459101706743</v>
      </c>
      <c r="Z100" s="3"/>
      <c r="AB100">
        <f>-(T100*1000-coord!$B$2)/$X100</f>
        <v>-0.15988721883295001</v>
      </c>
      <c r="AC100">
        <f>-(U100*1000-coord!$C$2)/$X100</f>
        <v>0.75597308120866891</v>
      </c>
      <c r="AD100">
        <f>-(V100*1000-coord!$D$2)/$X100</f>
        <v>-0.63477483546730806</v>
      </c>
      <c r="AE100">
        <v>1</v>
      </c>
      <c r="AG100">
        <v>-0.71908568356639324</v>
      </c>
      <c r="AH100">
        <v>-0.7922993268647508</v>
      </c>
      <c r="AI100">
        <v>-0.63477483546730806</v>
      </c>
      <c r="AJ100">
        <v>-0.41270987941528303</v>
      </c>
      <c r="AK100">
        <v>-2.5069262247888833E-2</v>
      </c>
      <c r="AL100">
        <v>-0.84859415561654106</v>
      </c>
      <c r="AM100">
        <v>-4.947737082710929E-3</v>
      </c>
      <c r="AO100">
        <v>1.1257669792162794</v>
      </c>
      <c r="AP100">
        <v>-0.4545727328798701</v>
      </c>
      <c r="AQ100">
        <v>2.4388559689284528</v>
      </c>
      <c r="AR100">
        <v>-3.4374808802608756</v>
      </c>
      <c r="AT100">
        <v>1.5918293502586398</v>
      </c>
      <c r="AU100">
        <v>0.39695592579762679</v>
      </c>
      <c r="AV100">
        <v>2.5570671715304534</v>
      </c>
      <c r="AW100">
        <v>1.9921280588371277</v>
      </c>
      <c r="AY100">
        <v>46.355688636876145</v>
      </c>
      <c r="BA100">
        <v>22.307165512431276</v>
      </c>
      <c r="BD100">
        <f>SQRT(($T100*1000+coord!$B$7*$R100*$U100*1000-coord!$B$2-BA$98)^2+($U100*1000-coord!$B$7*$R100*$T100*1000-coord!$C$2-BA$99)^2+($V100*1000-coord!$D$2-BA$100)^2)</f>
        <v>22843751.777212471</v>
      </c>
      <c r="BE100" s="3">
        <f t="shared" si="56"/>
        <v>3.0864921926178539</v>
      </c>
      <c r="BG100" s="1"/>
      <c r="BH100" s="1"/>
      <c r="BI100" s="1"/>
      <c r="BV100">
        <f>COS(RADIANS(BK98))</f>
        <v>0.702012458883158</v>
      </c>
      <c r="BW100">
        <v>0</v>
      </c>
      <c r="BX100">
        <f>SIN(RADIANS(BK98))</f>
        <v>0.71216466324356642</v>
      </c>
      <c r="BZ100" t="s">
        <v>95</v>
      </c>
      <c r="CA100">
        <v>0.68693659557908293</v>
      </c>
      <c r="CB100">
        <v>0.14470523861076021</v>
      </c>
      <c r="CC100">
        <v>0.71216466324356642</v>
      </c>
      <c r="CD100">
        <v>0</v>
      </c>
      <c r="CE100" s="1">
        <v>15.871003944738256</v>
      </c>
      <c r="CG100" s="1"/>
      <c r="CH100" s="1"/>
      <c r="CI100" s="1"/>
      <c r="CK100">
        <v>2.9115936352876113</v>
      </c>
      <c r="CL100">
        <v>0.41639725342259248</v>
      </c>
      <c r="CM100">
        <v>2.9719803176741983</v>
      </c>
      <c r="CN100">
        <v>2.7998876919934199</v>
      </c>
      <c r="CP100">
        <v>0.70201245888315811</v>
      </c>
      <c r="CQ100">
        <v>2.8364713732014164E-17</v>
      </c>
      <c r="CR100">
        <v>0.71216466324356642</v>
      </c>
      <c r="CS100">
        <v>0</v>
      </c>
      <c r="CU100" s="5">
        <v>-3.7635589205322617E-3</v>
      </c>
      <c r="CV100" s="5">
        <v>-0.1927093149778196</v>
      </c>
      <c r="CW100" s="5">
        <v>4.1768744455505313</v>
      </c>
      <c r="CX100" s="5">
        <v>2.7998876919934199</v>
      </c>
    </row>
    <row r="101" spans="1:111">
      <c r="A101">
        <v>28</v>
      </c>
      <c r="B101">
        <f t="shared" si="41"/>
        <v>0.48333333333333334</v>
      </c>
      <c r="C101">
        <v>4</v>
      </c>
      <c r="D101">
        <f>tetto!D101*coord!$B$13-tetto!G101*coord!$B$14</f>
        <v>21175778.082647916</v>
      </c>
      <c r="E101" s="5">
        <f>90-DEGREES(ACOS((coord!$B$2*($T101*1000-coord!$B$2)+coord!$C$2*($U101*1000-coord!$C$2)+coord!$D$2*($V101*1000-coord!$D$2))/(SQRT(coord!$B$2^2+coord!$C$2^2+coord!$D$2^2)*SQRT(($T101*1000-coord!$B$2)^2+($U101*1000-coord!$C$2)^2+($V101*1000-coord!$D$2)^2))))</f>
        <v>54.23275977723943</v>
      </c>
      <c r="F101">
        <f>(coord!$C$2*($V101*1000-coord!$D$2)-coord!$D$2*($U101*1000-coord!$C$2))/(SQRT(coord!$B$2^2+coord!$C$2^2+coord!$D$2^2)*SQRT(($T101*1000-coord!$B$2)^2+($U101*1000-coord!$C$2)^2+($V101*1000-coord!$D$2)^2))</f>
        <v>0.32493447218320687</v>
      </c>
      <c r="G101">
        <f>(-coord!$B$2*($V101*1000-coord!$D$2)+coord!$D$2*($T101*1000-coord!$B$2))/(SQRT(coord!$B$2^2+coord!$C$2^2+coord!$D$2^2)*SQRT(($T101*1000-coord!$B$2)^2+($U101*1000-coord!$C$2)^2+($V101*1000-coord!$D$2)^2))</f>
        <v>0.30525353934907518</v>
      </c>
      <c r="H101">
        <f>(coord!$B$2*($U101*1000-coord!$C$2)-coord!$C$2*($T101*1000-coord!$B$2))/(SQRT(coord!$B$2^2+coord!$C$2^2+coord!$D$2^2)*SQRT(($T101*1000-coord!$B$2)^2+($U101*1000-coord!$C$2)^2+($V101*1000-coord!$D$2)^2))</f>
        <v>-0.37798269182515604</v>
      </c>
      <c r="I101">
        <f t="shared" si="52"/>
        <v>-0.53659707215120767</v>
      </c>
      <c r="J101">
        <f t="shared" si="53"/>
        <v>0.23171832185205105</v>
      </c>
      <c r="K101">
        <f t="shared" si="54"/>
        <v>-1.8031345841419411E-3</v>
      </c>
      <c r="L101">
        <f t="shared" si="55"/>
        <v>246.64389969143321</v>
      </c>
      <c r="M101" s="5">
        <f>'sv04'!$AA$3+'sv04'!$Z$3*($B101)+'sv04'!$Y$3*($B101)^2+'sv04'!$X$3*($B101)^3+'sv04'!$W$3*($B101)^4+'sv04'!$V$3*($B101)^5+'sv04'!$U$3*($B101)^6+'sv04'!$T$3*($B101)^7+'sv04'!$S$3*($B101)^8</f>
        <v>22004.057030676253</v>
      </c>
      <c r="N101" s="5">
        <f>'sv04'!$AA$4+'sv04'!$Z$4*($B101)+'sv04'!$Y$4*($B101)^2+'sv04'!$X$4*($B101)^3+'sv04'!$W$4*($B101)^4+'sv04'!$V$4*($B101)^5+'sv04'!$U$4*($B101)^6+'sv04'!$T$4*($B101)^7+'sv04'!$S$4*($B101)^8</f>
        <v>-6991.0456249988865</v>
      </c>
      <c r="O101" s="5">
        <f>'sv04'!$AA$5+'sv04'!$Z$5*($B101)+'sv04'!$Y$5*($B101)^2+'sv04'!$X$5*($B101)^3+'sv04'!$W$5*($B101)^4+'sv04'!$V$5*($B101)^5+'sv04'!$U$5*($B101)^6+'sv04'!$T$5*($B101)^7+'sv04'!$S$5*($B101)^8</f>
        <v>13269.590550802635</v>
      </c>
      <c r="P101" s="5">
        <f>'sv04'!$AA$6+'sv04'!$Z$6*$B101+'sv04'!$Y$6*$B101^2+'sv04'!$X$6*$B101^3+'sv04'!$W$6*$B101^4+'sv04'!$V$6*$B101^5+'sv04'!$U$6*$B101^6+'sv04'!$T$6*$B101^7+'sv04'!$S$6*$B101^8</f>
        <v>86.601764658546514</v>
      </c>
      <c r="R101">
        <f>SQRT(($M101*1000-coord!$B$2)^2+($N101*1000-coord!$C$2)^2+($O101*1000-coord!$D$2)^2)/coord!$B$6</f>
        <v>7.0721412742382445E-2</v>
      </c>
      <c r="T101" s="5">
        <f>'sv04'!$AA$3+'sv04'!$Z$3*($B101-$R101/3600)+'sv04'!$Y$3*($B101-$R101/3600)^2+'sv04'!$X$3*($B101-$R101/3600)^3+'sv04'!$W$3*($B101-$R101/3600)^4+'sv04'!$V$3*($B101-$R101/3600)^5+'sv04'!$U$3*($B101-$R101/3600)^6+'sv04'!$T$3*($B101-$R101/3600)^7+'sv04'!$S$3*($B101-$R101/3600)^8+N101*coord!$B$7*R101</f>
        <v>22003.903688085786</v>
      </c>
      <c r="U101" s="5">
        <f>'sv04'!$AA$4+'sv04'!$Z$4*($B101-$R101/3600)+'sv04'!$Y$4*($B101-$R101/3600)^2+'sv04'!$X$4*($B101-$R101/3600)^3+'sv04'!$W$4*($B101-$R101/3600)^4+'sv04'!$V$4*($B101-$R101/3600)^5+'sv04'!$U$4*($B101-$R101/3600)^6+'sv04'!$T$4*($B101-$R101/3600)^7+'sv04'!$S$4*($B101-$R101/3600)^8-M101*coord!$B$7*R101</f>
        <v>-6991.1921615527508</v>
      </c>
      <c r="V101" s="5">
        <f>'sv04'!$AA$5+'sv04'!$Z$5*($B101-$R101/3600)+'sv04'!$Y$5*($B101-$R101/3600)^2+'sv04'!$X$5*($B101-$R101/3600)^3+'sv04'!$W$5*($B101-$R101/3600)^4+'sv04'!$V$5*($B101-$R101/3600)^5+'sv04'!$U$5*($B101-$R101/3600)^6+'sv04'!$T$5*($B101-$R101/3600)^7+'sv04'!$S$5*($B101-$R101/3600)^8</f>
        <v>13269.762842989974</v>
      </c>
      <c r="W101">
        <f>coord!$B$6*P101/10^6</f>
        <v>25962.55589412319</v>
      </c>
      <c r="X101">
        <f>SQRT(($T101*1000+coord!$B$7*$R101*$U101*1000-coord!$B$2)^2+($U101*1000-coord!$B$7*$R101*$T101*1000-coord!$C$2)^2+($V101*1000-coord!$D$2)^2)</f>
        <v>21201756.9850448</v>
      </c>
      <c r="Y101" s="3">
        <f>$D101-(X101-$W101)-coord!$E$2</f>
        <v>-16.346502762287855</v>
      </c>
      <c r="Z101" s="3"/>
      <c r="AB101">
        <f>-(T101*1000-coord!$B$2)/$X101</f>
        <v>-0.8308285737691925</v>
      </c>
      <c r="AC101">
        <f>-(U101*1000-coord!$C$2)/$X101</f>
        <v>0.37335407534084725</v>
      </c>
      <c r="AD101">
        <f>-(V101*1000-coord!$D$2)/$X101</f>
        <v>-0.41270987941528303</v>
      </c>
      <c r="AE101">
        <v>1</v>
      </c>
      <c r="AG101">
        <v>1</v>
      </c>
      <c r="AH101">
        <v>1</v>
      </c>
      <c r="AI101">
        <v>1</v>
      </c>
      <c r="AJ101">
        <v>1</v>
      </c>
      <c r="AK101">
        <v>1</v>
      </c>
      <c r="AL101">
        <v>1</v>
      </c>
      <c r="AM101">
        <v>1</v>
      </c>
      <c r="AO101">
        <v>-3.2014653720758246</v>
      </c>
      <c r="AP101">
        <v>-0.14822894243479212</v>
      </c>
      <c r="AQ101">
        <v>-3.4374808802608756</v>
      </c>
      <c r="AR101">
        <v>7</v>
      </c>
      <c r="AT101">
        <v>1.9585157777795004</v>
      </c>
      <c r="AU101">
        <v>0.24731877989651718</v>
      </c>
      <c r="AV101">
        <v>1.9921280588371273</v>
      </c>
      <c r="AW101">
        <v>2.0220974796710549</v>
      </c>
      <c r="AY101">
        <v>-26.501087740063667</v>
      </c>
      <c r="BA101">
        <v>10.034815988817016</v>
      </c>
      <c r="BD101">
        <f>SQRT(($T101*1000+coord!$B$7*$R101*$U101*1000-coord!$B$2-BA$98)^2+($U101*1000-coord!$B$7*$R101*$T101*1000-coord!$C$2-BA$99)^2+($V101*1000-coord!$D$2-BA$100)^2)</f>
        <v>21201726.811478965</v>
      </c>
      <c r="BE101" s="3">
        <f t="shared" si="56"/>
        <v>3.7922470836557949</v>
      </c>
      <c r="BG101" s="1"/>
      <c r="BH101" s="1"/>
      <c r="BI101" s="1"/>
      <c r="CA101">
        <v>0</v>
      </c>
      <c r="CB101">
        <v>0</v>
      </c>
      <c r="CC101">
        <v>0</v>
      </c>
      <c r="CD101">
        <v>1</v>
      </c>
      <c r="CG101" s="1"/>
      <c r="CH101" s="1"/>
      <c r="CI101" s="1"/>
      <c r="CK101">
        <v>1.9585157777795004</v>
      </c>
      <c r="CL101">
        <v>0.24731877989651718</v>
      </c>
      <c r="CM101">
        <v>1.9921280588371273</v>
      </c>
      <c r="CN101">
        <v>2.0220974796710549</v>
      </c>
      <c r="CP101">
        <v>0</v>
      </c>
      <c r="CQ101">
        <v>0</v>
      </c>
      <c r="CR101">
        <v>0</v>
      </c>
      <c r="CS101">
        <v>1</v>
      </c>
      <c r="CU101" s="5">
        <v>-2.6395777278951371E-3</v>
      </c>
      <c r="CV101" s="5">
        <v>-0.16169965479277684</v>
      </c>
      <c r="CW101" s="5">
        <v>2.7998876919934199</v>
      </c>
      <c r="CX101" s="5">
        <v>2.0220974796710549</v>
      </c>
    </row>
    <row r="102" spans="1:111">
      <c r="A102">
        <v>28</v>
      </c>
      <c r="B102">
        <f t="shared" si="41"/>
        <v>0.48333333333333334</v>
      </c>
      <c r="C102">
        <v>20</v>
      </c>
      <c r="D102">
        <f>tetto!D102*coord!$B$13-tetto!G102*coord!$B$14</f>
        <v>23113105.843892664</v>
      </c>
      <c r="E102" s="5">
        <f>90-DEGREES(ACOS((coord!$B$2*($T102*1000-coord!$B$2)+coord!$C$2*($U102*1000-coord!$C$2)+coord!$D$2*($V102*1000-coord!$D$2))/(SQRT(coord!$B$2^2+coord!$C$2^2+coord!$D$2^2)*SQRT(($T102*1000-coord!$B$2)^2+($U102*1000-coord!$C$2)^2+($V102*1000-coord!$D$2)^2))))</f>
        <v>26.171283431219337</v>
      </c>
      <c r="F102">
        <f>(coord!$C$2*($V102*1000-coord!$D$2)-coord!$D$2*($U102*1000-coord!$C$2))/(SQRT(coord!$B$2^2+coord!$C$2^2+coord!$D$2^2)*SQRT(($T102*1000-coord!$B$2)^2+($U102*1000-coord!$C$2)^2+($V102*1000-coord!$D$2)^2))</f>
        <v>-0.63919177255669568</v>
      </c>
      <c r="G102">
        <f>(-coord!$B$2*($V102*1000-coord!$D$2)+coord!$D$2*($T102*1000-coord!$B$2))/(SQRT(coord!$B$2^2+coord!$C$2^2+coord!$D$2^2)*SQRT(($T102*1000-coord!$B$2)^2+($U102*1000-coord!$C$2)^2+($V102*1000-coord!$D$2)^2))</f>
        <v>0.28316767671910659</v>
      </c>
      <c r="H102">
        <f>(coord!$B$2*($U102*1000-coord!$C$2)-coord!$C$2*($T102*1000-coord!$B$2))/(SQRT(coord!$B$2^2+coord!$C$2^2+coord!$D$2^2)*SQRT(($T102*1000-coord!$B$2)^2+($U102*1000-coord!$C$2)^2+($V102*1000-coord!$D$2)^2))</f>
        <v>0.56277834703592611</v>
      </c>
      <c r="I102">
        <f t="shared" si="52"/>
        <v>0.79894202049750174</v>
      </c>
      <c r="J102">
        <f t="shared" si="53"/>
        <v>0.40884468696898663</v>
      </c>
      <c r="K102">
        <f t="shared" si="54"/>
        <v>2.681968634658749E-3</v>
      </c>
      <c r="L102">
        <f t="shared" si="55"/>
        <v>117.10030687272081</v>
      </c>
      <c r="M102" s="5">
        <f>'sv20'!$AA$3+'sv20'!$Z$3*($B102)+'sv20'!$Y$3*($B102)^2+'sv20'!$X$3*($B102)^3+'sv20'!$W$3*($B102)^4+'sv20'!$V$3*($B102)^5+'sv20'!$U$3*($B102)^6+'sv20'!$T$3*($B102)^7+'sv20'!$S$3*($B102)^8</f>
        <v>14179.222358178056</v>
      </c>
      <c r="N102" s="5">
        <f>'sv20'!$AA$4+'sv20'!$Z$4*($B102)+'sv20'!$Y$4*($B102)^2+'sv20'!$X$4*($B102)^3+'sv20'!$W$4*($B102)^4+'sv20'!$V$4*($B102)^5+'sv20'!$U$4*($B102)^6+'sv20'!$T$4*($B102)^7+'sv20'!$S$4*($B102)^8</f>
        <v>21872.234392237631</v>
      </c>
      <c r="O102" s="5">
        <f>'sv20'!$AA$5+'sv20'!$Z$5*($B102)+'sv20'!$Y$5*($B102)^2+'sv20'!$X$5*($B102)^3+'sv20'!$W$5*($B102)^4+'sv20'!$V$5*($B102)^5+'sv20'!$U$5*($B102)^6+'sv20'!$T$5*($B102)^7+'sv20'!$S$5*($B102)^8</f>
        <v>5099.2014256522443</v>
      </c>
      <c r="P102" s="5">
        <f>'sv20'!$AA$6+'sv20'!$Z$6*$B102+'sv20'!$Y$6*$B102^2+'sv20'!$X$6*$B102^3+'sv20'!$W$6*$B102^4+'sv20'!$V$6*$B102^5+'sv20'!$U$6*$B102^6+'sv20'!$T$6*$B102^7+'sv20'!$S$6*$B102^8</f>
        <v>55.817747696630427</v>
      </c>
      <c r="R102">
        <f>SQRT(($M102*1000-coord!$B$2)^2+($N102*1000-coord!$C$2)^2+($O102*1000-coord!$D$2)^2)/coord!$B$6</f>
        <v>7.7152980455403461E-2</v>
      </c>
      <c r="T102" s="5">
        <f>'sv20'!$AA$3+'sv20'!$Z$3*($B102-$R102/3600)+'sv20'!$Y$3*($B102-$R102/3600)^2+'sv20'!$X$3*($B102-$R102/3600)^3+'sv20'!$W$3*($B102-$R102/3600)^4+'sv20'!$V$3*($B102-$R102/3600)^5+'sv20'!$U$3*($B102-$R102/3600)^6+'sv20'!$T$3*($B102-$R102/3600)^7+'sv20'!$S$3*($B102-$R102/3600)^8+N102*coord!$B$7*R102</f>
        <v>14179.347988360096</v>
      </c>
      <c r="U102" s="5">
        <f>'sv20'!$AA$4+'sv20'!$Z$4*($B102-$R102/3600)+'sv20'!$Y$4*($B102-$R102/3600)^2+'sv20'!$X$4*($B102-$R102/3600)^3+'sv20'!$W$4*($B102-$R102/3600)^4+'sv20'!$V$4*($B102-$R102/3600)^5+'sv20'!$U$4*($B102-$R102/3600)^6+'sv20'!$T$4*($B102-$R102/3600)^7+'sv20'!$S$4*($B102-$R102/3600)^8-M102*coord!$B$7*R102</f>
        <v>21872.096899019427</v>
      </c>
      <c r="V102" s="5">
        <f>'sv20'!$AA$5+'sv20'!$Z$5*($B102-$R102/3600)+'sv20'!$Y$5*($B102-$R102/3600)^2+'sv20'!$X$5*($B102-$R102/3600)^3+'sv20'!$W$5*($B102-$R102/3600)^4+'sv20'!$V$5*($B102-$R102/3600)^5+'sv20'!$U$5*($B102-$R102/3600)^6+'sv20'!$T$5*($B102-$R102/3600)^7+'sv20'!$S$5*($B102-$R102/3600)^8</f>
        <v>5099.4351961526281</v>
      </c>
      <c r="W102">
        <f>coord!$B$6*P102/10^6</f>
        <v>16733.739781996672</v>
      </c>
      <c r="X102">
        <f>SQRT(($T102*1000+coord!$B$7*$R102*$U102*1000-coord!$B$2)^2+($U102*1000-coord!$B$7*$R102*$T102*1000-coord!$C$2)^2+($V102*1000-coord!$D$2)^2)</f>
        <v>23129796.007517517</v>
      </c>
      <c r="Y102" s="3">
        <f>$D102-(X102-$W102)-coord!$E$2</f>
        <v>43.57615714520216</v>
      </c>
      <c r="Z102" s="3"/>
      <c r="AB102">
        <f>-(T102*1000-coord!$B$2)/$X102</f>
        <v>-0.42328388085991125</v>
      </c>
      <c r="AC102">
        <f>-(U102*1000-coord!$C$2)/$X102</f>
        <v>-0.90565116436872939</v>
      </c>
      <c r="AD102">
        <f>-(V102*1000-coord!$D$2)/$X102</f>
        <v>-2.5069262247888833E-2</v>
      </c>
      <c r="AE102">
        <v>1</v>
      </c>
      <c r="BD102">
        <f>SQRT(($T102*1000+coord!$B$7*$R102*$U102*1000-coord!$B$2-BA$98)^2+($U102*1000-coord!$B$7*$R102*$T102*1000-coord!$C$2-BA$99)^2+($V102*1000-coord!$D$2-BA$100)^2)</f>
        <v>23129826.703699172</v>
      </c>
      <c r="BE102" s="3">
        <f t="shared" si="56"/>
        <v>2.8451595014550293</v>
      </c>
      <c r="BG102" s="1"/>
      <c r="BH102" s="1"/>
      <c r="BI102" s="1"/>
      <c r="CG102" s="1"/>
      <c r="CH102" s="1"/>
      <c r="CI102" s="1"/>
    </row>
    <row r="103" spans="1:111">
      <c r="A103">
        <v>28</v>
      </c>
      <c r="B103">
        <f t="shared" si="41"/>
        <v>0.48333333333333334</v>
      </c>
      <c r="C103">
        <v>13</v>
      </c>
      <c r="D103">
        <f>tetto!D103*coord!$B$13-tetto!G103*coord!$B$14</f>
        <v>20152002.483575363</v>
      </c>
      <c r="E103" s="5">
        <f>90-DEGREES(ACOS((coord!$B$2*($T103*1000-coord!$B$2)+coord!$C$2*($U103*1000-coord!$C$2)+coord!$D$2*($V103*1000-coord!$D$2))/(SQRT(coord!$B$2^2+coord!$C$2^2+coord!$D$2^2)*SQRT(($T103*1000-coord!$B$2)^2+($U103*1000-coord!$C$2)^2+($V103*1000-coord!$D$2)^2))))</f>
        <v>75.167280238944556</v>
      </c>
      <c r="F103">
        <f>(coord!$C$2*($V103*1000-coord!$D$2)-coord!$D$2*($U103*1000-coord!$C$2))/(SQRT(coord!$B$2^2+coord!$C$2^2+coord!$D$2^2)*SQRT(($T103*1000-coord!$B$2)^2+($U103*1000-coord!$C$2)^2+($V103*1000-coord!$D$2)^2))</f>
        <v>-2.9654355500502577E-2</v>
      </c>
      <c r="G103">
        <f>(-coord!$B$2*($V103*1000-coord!$D$2)+coord!$D$2*($T103*1000-coord!$B$2))/(SQRT(coord!$B$2^2+coord!$C$2^2+coord!$D$2^2)*SQRT(($T103*1000-coord!$B$2)^2+($U103*1000-coord!$C$2)^2+($V103*1000-coord!$D$2)^2))</f>
        <v>-0.24192290193181296</v>
      </c>
      <c r="H103">
        <f>(coord!$B$2*($U103*1000-coord!$C$2)-coord!$C$2*($T103*1000-coord!$B$2))/(SQRT(coord!$B$2^2+coord!$C$2^2+coord!$D$2^2)*SQRT(($T103*1000-coord!$B$2)^2+($U103*1000-coord!$C$2)^2+($V103*1000-coord!$D$2)^2))</f>
        <v>7.8286790979242127E-2</v>
      </c>
      <c r="I103">
        <f t="shared" si="52"/>
        <v>0.11113792047529589</v>
      </c>
      <c r="J103">
        <f t="shared" si="53"/>
        <v>-0.23061464738496623</v>
      </c>
      <c r="K103">
        <f t="shared" si="54"/>
        <v>3.7411899418171579E-4</v>
      </c>
      <c r="L103">
        <f t="shared" si="55"/>
        <v>25.730369170843687</v>
      </c>
      <c r="M103" s="5">
        <f>'sv13'!$AA$3+'sv13'!$Z$3*($B103)+'sv13'!$Y$3*($B103)^2+'sv13'!$X$3*($B103)^3+'sv13'!$W$3*($B103)^4+'sv13'!$V$3*($B103)^5+'sv13'!$U$3*($B103)^6+'sv13'!$T$3*($B103)^7+'sv13'!$S$3*($B103)^8</f>
        <v>14170.659538629641</v>
      </c>
      <c r="N103" s="5">
        <f>'sv13'!$AA$4+'sv13'!$Z$4*($B103)+'sv13'!$Y$4*($B103)^2+'sv13'!$X$4*($B103)^3+'sv13'!$W$4*($B103)^4+'sv13'!$V$4*($B103)^5+'sv13'!$U$4*($B103)^6+'sv13'!$T$4*($B103)^7+'sv13'!$S$4*($B103)^8</f>
        <v>5284.6626011199714</v>
      </c>
      <c r="O103" s="5">
        <f>'sv13'!$AA$5+'sv13'!$Z$5*($B103)+'sv13'!$Y$5*($B103)^2+'sv13'!$X$5*($B103)^3+'sv13'!$W$5*($B103)^4+'sv13'!$V$5*($B103)^5+'sv13'!$U$5*($B103)^6+'sv13'!$T$5*($B103)^7+'sv13'!$S$5*($B103)^8</f>
        <v>21697.900382598313</v>
      </c>
      <c r="P103" s="5">
        <f>'sv13'!$AA$6+'sv13'!$Z$6*$B103+'sv13'!$Y$6*$B103^2+'sv13'!$X$6*$B103^3+'sv13'!$W$6*$B103^4+'sv13'!$V$6*$B103^5+'sv13'!$U$6*$B103^6+'sv13'!$T$6*$B103^7+'sv13'!$S$6*$B103^8</f>
        <v>304.21943197908587</v>
      </c>
      <c r="R103">
        <f>SQRT(($M103*1000-coord!$B$2)^2+($N103*1000-coord!$C$2)^2+($O103*1000-coord!$D$2)^2)/coord!$B$6</f>
        <v>6.7524122141192272E-2</v>
      </c>
      <c r="T103" s="5">
        <f>'sv13'!$AA$3+'sv13'!$Z$3*($B103-$R103/3600)+'sv13'!$Y$3*($B103-$R103/3600)^2+'sv13'!$X$3*($B103-$R103/3600)^3+'sv13'!$W$3*($B103-$R103/3600)^4+'sv13'!$V$3*($B103-$R103/3600)^5+'sv13'!$U$3*($B103-$R103/3600)^6+'sv13'!$T$3*($B103-$R103/3600)^7+'sv13'!$S$3*($B103-$R103/3600)^8+N103*coord!$B$7*R103</f>
        <v>14170.806976199328</v>
      </c>
      <c r="U103" s="5">
        <f>'sv13'!$AA$4+'sv13'!$Z$4*($B103-$R103/3600)+'sv13'!$Y$4*($B103-$R103/3600)^2+'sv13'!$X$4*($B103-$R103/3600)^3+'sv13'!$W$4*($B103-$R103/3600)^4+'sv13'!$V$4*($B103-$R103/3600)^5+'sv13'!$U$4*($B103-$R103/3600)^6+'sv13'!$T$4*($B103-$R103/3600)^7+'sv13'!$S$4*($B103-$R103/3600)^8-M103*coord!$B$7*R103</f>
        <v>5284.4496882559733</v>
      </c>
      <c r="V103" s="5">
        <f>'sv13'!$AA$5+'sv13'!$Z$5*($B103-$R103/3600)+'sv13'!$Y$5*($B103-$R103/3600)^2+'sv13'!$X$5*($B103-$R103/3600)^3+'sv13'!$W$5*($B103-$R103/3600)^4+'sv13'!$V$5*($B103-$R103/3600)^5+'sv13'!$U$5*($B103-$R103/3600)^6+'sv13'!$T$5*($B103-$R103/3600)^7+'sv13'!$S$5*($B103-$R103/3600)^8</f>
        <v>21697.856435923753</v>
      </c>
      <c r="W103">
        <f>coord!$B$6*P103/10^6</f>
        <v>91202.691284373956</v>
      </c>
      <c r="X103">
        <f>SQRT(($T103*1000+coord!$B$7*$R103*$U103*1000-coord!$B$2)^2+($U103*1000-coord!$B$7*$R103*$T103*1000-coord!$C$2)^2+($V103*1000-coord!$D$2)^2)</f>
        <v>20243208.190778766</v>
      </c>
      <c r="Y103" s="3">
        <f>$D103-(X103-$W103)-coord!$E$2</f>
        <v>-3.015919029712677</v>
      </c>
      <c r="Z103" s="3"/>
      <c r="AB103">
        <f>-(T103*1000-coord!$B$2)/$X103</f>
        <v>-0.48322028372238029</v>
      </c>
      <c r="AC103">
        <f>-(U103*1000-coord!$C$2)/$X103</f>
        <v>-0.21537492644283507</v>
      </c>
      <c r="AD103">
        <f>-(V103*1000-coord!$D$2)/$X103</f>
        <v>-0.84859415561654106</v>
      </c>
      <c r="AE103">
        <v>1</v>
      </c>
      <c r="BD103">
        <f>SQRT(($T103*1000+coord!$B$7*$R103*$U103*1000-coord!$B$2-BA$98)^2+($U103*1000-coord!$B$7*$R103*$T103*1000-coord!$C$2-BA$99)^2+($V103*1000-coord!$D$2-BA$100)^2)</f>
        <v>20243193.61847885</v>
      </c>
      <c r="BE103" s="3">
        <f t="shared" si="56"/>
        <v>1.5215648977675045</v>
      </c>
      <c r="BG103" s="1"/>
      <c r="BH103" s="1"/>
      <c r="BI103" s="1"/>
      <c r="CG103" s="1"/>
      <c r="CH103" s="1"/>
      <c r="CI103" s="1"/>
    </row>
    <row r="104" spans="1:111">
      <c r="A104">
        <v>28</v>
      </c>
      <c r="B104">
        <f t="shared" si="41"/>
        <v>0.48333333333333334</v>
      </c>
      <c r="C104">
        <v>7</v>
      </c>
      <c r="D104">
        <f>tetto!D104*coord!$B$13-tetto!G104*coord!$B$14</f>
        <v>21764084.225191064</v>
      </c>
      <c r="E104" s="5">
        <f>90-DEGREES(ACOS((coord!$B$2*($T104*1000-coord!$B$2)+coord!$C$2*($U104*1000-coord!$C$2)+coord!$D$2*($V104*1000-coord!$D$2))/(SQRT(coord!$B$2^2+coord!$C$2^2+coord!$D$2^2)*SQRT(($T104*1000-coord!$B$2)^2+($U104*1000-coord!$C$2)^2+($V104*1000-coord!$D$2)^2))))</f>
        <v>44.996474149414325</v>
      </c>
      <c r="F104">
        <f>(coord!$C$2*($V104*1000-coord!$D$2)-coord!$D$2*($U104*1000-coord!$C$2))/(SQRT(coord!$B$2^2+coord!$C$2^2+coord!$D$2^2)*SQRT(($T104*1000-coord!$B$2)^2+($U104*1000-coord!$C$2)^2+($V104*1000-coord!$D$2)^2))</f>
        <v>-0.17936860570397517</v>
      </c>
      <c r="G104">
        <f>(-coord!$B$2*($V104*1000-coord!$D$2)+coord!$D$2*($T104*1000-coord!$B$2))/(SQRT(coord!$B$2^2+coord!$C$2^2+coord!$D$2^2)*SQRT(($T104*1000-coord!$B$2)^2+($U104*1000-coord!$C$2)^2+($V104*1000-coord!$D$2)^2))</f>
        <v>0.68315675430763623</v>
      </c>
      <c r="H104">
        <f>(coord!$B$2*($U104*1000-coord!$C$2)-coord!$C$2*($T104*1000-coord!$B$2))/(SQRT(coord!$B$2^2+coord!$C$2^2+coord!$D$2^2)*SQRT(($T104*1000-coord!$B$2)^2+($U104*1000-coord!$C$2)^2+($V104*1000-coord!$D$2)^2))</f>
        <v>3.4428041378587175E-2</v>
      </c>
      <c r="I104">
        <f t="shared" si="52"/>
        <v>4.8877874861681776E-2</v>
      </c>
      <c r="J104">
        <f t="shared" si="53"/>
        <v>0.70545904553747407</v>
      </c>
      <c r="K104">
        <f t="shared" si="54"/>
        <v>1.6161639670890862E-4</v>
      </c>
      <c r="L104">
        <f t="shared" si="55"/>
        <v>176.03658409678692</v>
      </c>
      <c r="M104" s="5">
        <f>'sv07'!$AA$3+'sv07'!$Z$3*($B104)+'sv07'!$Y$3*($B104)^2+'sv07'!$X$3*($B104)^3+'sv07'!$W$3*($B104)^4+'sv07'!$V$3*($B104)^5+'sv07'!$U$3*($B104)^6+'sv07'!$T$3*($B104)^7+'sv07'!$S$3*($B104)^8</f>
        <v>25440.277454772826</v>
      </c>
      <c r="N104" s="5">
        <f>'sv07'!$AA$4+'sv07'!$Z$4*($B104)+'sv07'!$Y$4*($B104)^2+'sv07'!$X$4*($B104)^3+'sv07'!$W$4*($B104)^4+'sv07'!$V$4*($B104)^5+'sv07'!$U$4*($B104)^6+'sv07'!$T$4*($B104)^7+'sv07'!$S$4*($B104)^8</f>
        <v>6446.5334091959321</v>
      </c>
      <c r="O104" s="5">
        <f>'sv07'!$AA$5+'sv07'!$Z$5*($B104)+'sv07'!$Y$5*($B104)^2+'sv07'!$X$5*($B104)^3+'sv07'!$W$5*($B104)^4+'sv07'!$V$5*($B104)^5+'sv07'!$U$5*($B104)^6+'sv07'!$T$5*($B104)^7+'sv07'!$S$5*($B104)^8</f>
        <v>4627.4965253452792</v>
      </c>
      <c r="P104" s="5">
        <f>'sv07'!$AA$6+'sv07'!$Z$6*$B104+'sv07'!$Y$6*$B104^2+'sv07'!$X$6*$B104^3+'sv07'!$W$6*$B104^4+'sv07'!$V$6*$B104^5+'sv07'!$U$6*$B104^6+'sv07'!$T$6*$B104^7+'sv07'!$S$6*$B104^8</f>
        <v>-0.63785482908386593</v>
      </c>
      <c r="R104">
        <f>SQRT(($M104*1000-coord!$B$2)^2+($N104*1000-coord!$C$2)^2+($O104*1000-coord!$D$2)^2)/coord!$B$6</f>
        <v>7.2596386782398506E-2</v>
      </c>
      <c r="T104" s="5">
        <f>'sv07'!$AA$3+'sv07'!$Z$3*($B104-$R104/3600)+'sv07'!$Y$3*($B104-$R104/3600)^2+'sv07'!$X$3*($B104-$R104/3600)^3+'sv07'!$W$3*($B104-$R104/3600)^4+'sv07'!$V$3*($B104-$R104/3600)^5+'sv07'!$U$3*($B104-$R104/3600)^6+'sv07'!$T$3*($B104-$R104/3600)^7+'sv07'!$S$3*($B104-$R104/3600)^8+N104*coord!$B$7*R104</f>
        <v>25440.355853230285</v>
      </c>
      <c r="U104" s="5">
        <f>'sv07'!$AA$4+'sv07'!$Z$4*($B104-$R104/3600)+'sv07'!$Y$4*($B104-$R104/3600)^2+'sv07'!$X$4*($B104-$R104/3600)^3+'sv07'!$W$4*($B104-$R104/3600)^4+'sv07'!$V$4*($B104-$R104/3600)^5+'sv07'!$U$4*($B104-$R104/3600)^6+'sv07'!$T$4*($B104-$R104/3600)^7+'sv07'!$S$4*($B104-$R104/3600)^8-M104*coord!$B$7*R104</f>
        <v>6446.387711580408</v>
      </c>
      <c r="V104" s="5">
        <f>'sv07'!$AA$5+'sv07'!$Z$5*($B104-$R104/3600)+'sv07'!$Y$5*($B104-$R104/3600)^2+'sv07'!$X$5*($B104-$R104/3600)^3+'sv07'!$W$5*($B104-$R104/3600)^4+'sv07'!$V$5*($B104-$R104/3600)^5+'sv07'!$U$5*($B104-$R104/3600)^6+'sv07'!$T$5*($B104-$R104/3600)^7+'sv07'!$S$5*($B104-$R104/3600)^8</f>
        <v>4627.2702592387686</v>
      </c>
      <c r="W104">
        <f>coord!$B$6*P104/10^6</f>
        <v>-191.22406705822206</v>
      </c>
      <c r="X104">
        <f>SQRT(($T104*1000+coord!$B$7*$R104*$U104*1000-coord!$B$2)^2+($U104*1000-coord!$B$7*$R104*$T104*1000-coord!$C$2)^2+($V104*1000-coord!$D$2)^2)</f>
        <v>21763885.820660528</v>
      </c>
      <c r="Y104" s="3">
        <f>$D104-(X104-$W104)-coord!$E$2</f>
        <v>7.1804634779691696</v>
      </c>
      <c r="Z104" s="3" t="s">
        <v>127</v>
      </c>
      <c r="AA104" s="1" t="s">
        <v>128</v>
      </c>
      <c r="AB104">
        <f>-(T104*1000-coord!$B$2)/$X104</f>
        <v>-0.96726650083993959</v>
      </c>
      <c r="AC104">
        <f>-(U104*1000-coord!$C$2)/$X104</f>
        <v>-0.2537146878954184</v>
      </c>
      <c r="AD104">
        <f>-(V104*1000-coord!$D$2)/$X104</f>
        <v>-4.947737082710929E-3</v>
      </c>
      <c r="AE104">
        <v>1</v>
      </c>
      <c r="BD104">
        <f>SQRT(($T104*1000+coord!$B$7*$R104*$U104*1000-coord!$B$2-BA$98)^2+($U104*1000-coord!$B$7*$R104*$T104*1000-coord!$C$2-BA$99)^2+($V104*1000-coord!$D$2-BA$100)^2)</f>
        <v>21763887.643541381</v>
      </c>
      <c r="BE104" s="3">
        <f t="shared" si="56"/>
        <v>-4.6772333638153469</v>
      </c>
      <c r="BF104" s="3" t="s">
        <v>127</v>
      </c>
      <c r="BG104" s="1" t="s">
        <v>128</v>
      </c>
      <c r="BH104" s="1"/>
      <c r="BI104" s="1"/>
      <c r="CG104" s="1"/>
      <c r="CH104" s="1"/>
      <c r="CI104" s="1"/>
    </row>
    <row r="105" spans="1:111">
      <c r="Y105" s="3"/>
      <c r="Z105" s="3">
        <f>AVERAGE($Y98:$Y104)</f>
        <v>-3.7858696771519527</v>
      </c>
      <c r="AA105" s="1">
        <f>SQRT(DEVSQ($Y98:$Y104)/6)</f>
        <v>27.865022689149349</v>
      </c>
      <c r="BE105" s="3"/>
      <c r="BF105" s="3">
        <f>AVERAGE($BE98:$BE104)</f>
        <v>1.078908787742908E-4</v>
      </c>
      <c r="BG105" s="1">
        <f>SQRT(DEVSQ($BE98:$BE104)/6)</f>
        <v>3.6845956622239533</v>
      </c>
      <c r="BH105" s="1"/>
      <c r="BI105" s="1"/>
      <c r="CG105" s="1"/>
      <c r="CH105" s="1"/>
      <c r="CI105" s="1"/>
    </row>
    <row r="106" spans="1:111">
      <c r="A106">
        <v>30</v>
      </c>
      <c r="B106">
        <f t="shared" si="41"/>
        <v>0.5</v>
      </c>
      <c r="C106">
        <v>2</v>
      </c>
      <c r="D106">
        <f>tetto!D106*coord!$B$13-tetto!G106*coord!$B$14</f>
        <v>22523637.771049373</v>
      </c>
      <c r="E106" s="5">
        <f>90-DEGREES(ACOS((coord!$B$2*($T106*1000-coord!$B$2)+coord!$C$2*($U106*1000-coord!$C$2)+coord!$D$2*($V106*1000-coord!$D$2))/(SQRT(coord!$B$2^2+coord!$C$2^2+coord!$D$2^2)*SQRT(($T106*1000-coord!$B$2)^2+($U106*1000-coord!$C$2)^2+($V106*1000-coord!$D$2)^2))))</f>
        <v>31.339723781364498</v>
      </c>
      <c r="F106">
        <f>(coord!$C$2*($V106*1000-coord!$D$2)-coord!$D$2*($U106*1000-coord!$C$2))/(SQRT(coord!$B$2^2+coord!$C$2^2+coord!$D$2^2)*SQRT(($T106*1000-coord!$B$2)^2+($U106*1000-coord!$C$2)^2+($V106*1000-coord!$D$2)^2))</f>
        <v>0.58548734478073206</v>
      </c>
      <c r="G106">
        <f>(-coord!$B$2*($V106*1000-coord!$D$2)+coord!$D$2*($T106*1000-coord!$B$2))/(SQRT(coord!$B$2^2+coord!$C$2^2+coord!$D$2^2)*SQRT(($T106*1000-coord!$B$2)^2+($U106*1000-coord!$C$2)^2+($V106*1000-coord!$D$2)^2))</f>
        <v>-0.38246770691411219</v>
      </c>
      <c r="H106">
        <f>(coord!$B$2*($U106*1000-coord!$C$2)-coord!$C$2*($T106*1000-coord!$B$2))/(SQRT(coord!$B$2^2+coord!$C$2^2+coord!$D$2^2)*SQRT(($T106*1000-coord!$B$2)^2+($U106*1000-coord!$C$2)^2+($V106*1000-coord!$D$2)^2))</f>
        <v>-0.49031333010247091</v>
      </c>
      <c r="I106">
        <f t="shared" ref="I106:I112" si="57">$F106*$CA$2+$G106*$CB$2+$H106*$CC$2</f>
        <v>-0.69606837272024269</v>
      </c>
      <c r="J106">
        <f t="shared" ref="J106:J112" si="58">$F106*$CA$3+$G106*$CB$3+$H106*$CC$3</f>
        <v>-0.49494191820996075</v>
      </c>
      <c r="K106">
        <f t="shared" ref="K106:K112" si="59">$F106*$CA$4+$G106*$CB$4+$H106*$CC$4</f>
        <v>-2.3361301212843633E-3</v>
      </c>
      <c r="L106">
        <f t="shared" ref="L106:L112" si="60">90+DEGREES(ATAN2(I106,J106))</f>
        <v>-54.585133481918803</v>
      </c>
      <c r="M106" s="5">
        <f>'sv02'!$AA$3+'sv02'!$Z$3*($B106)+'sv02'!$Y$3*($B106)^2+'sv02'!$X$3*($B106)^3+'sv02'!$W$3*($B106)^4+'sv02'!$V$3*($B106)^5+'sv02'!$U$3*($B106)^6+'sv02'!$T$3*($B106)^7+'sv02'!$S$3*($B106)^8</f>
        <v>7965.028253674328</v>
      </c>
      <c r="N106" s="5">
        <f>'sv02'!$AA$4+'sv02'!$Z$4*($B106)+'sv02'!$Y$4*($B106)^2+'sv02'!$X$4*($B106)^3+'sv02'!$W$4*($B106)^4+'sv02'!$V$4*($B106)^5+'sv02'!$U$4*($B106)^6+'sv02'!$T$4*($B106)^7+'sv02'!$S$4*($B106)^8</f>
        <v>-14399.162238614024</v>
      </c>
      <c r="O106" s="5">
        <f>'sv02'!$AA$5+'sv02'!$Z$5*($B106)+'sv02'!$Y$5*($B106)^2+'sv02'!$X$5*($B106)^3+'sv02'!$W$5*($B106)^4+'sv02'!$V$5*($B106)^5+'sv02'!$U$5*($B106)^6+'sv02'!$T$5*($B106)^7+'sv02'!$S$5*($B106)^8</f>
        <v>20742.805354752029</v>
      </c>
      <c r="P106" s="5">
        <f>'sv02'!$AA$6+'sv02'!$Z$6*$B106+'sv02'!$Y$6*$B106^2+'sv02'!$X$6*$B106^3+'sv02'!$W$6*$B106^4+'sv02'!$V$6*$B106^5+'sv02'!$U$6*$B106^6+'sv02'!$T$6*$B106^7+'sv02'!$S$6*$B106^8</f>
        <v>257.59269224139945</v>
      </c>
      <c r="R106">
        <f>SQRT(($M106*1000-coord!$B$2)^2+($N106*1000-coord!$C$2)^2+($O106*1000-coord!$D$2)^2)/coord!$B$6</f>
        <v>7.5388319140873766E-2</v>
      </c>
      <c r="T106" s="5">
        <f>'sv02'!$AA$3+'sv02'!$Z$3*($B106-$R106/3600)+'sv02'!$Y$3*($B106-$R106/3600)^2+'sv02'!$X$3*($B106-$R106/3600)^3+'sv02'!$W$3*($B106-$R106/3600)^4+'sv02'!$V$3*($B106-$R106/3600)^5+'sv02'!$U$3*($B106-$R106/3600)^6+'sv02'!$T$3*($B106-$R106/3600)^7+'sv02'!$S$3*($B106-$R106/3600)^8+N106*coord!$B$7*R106</f>
        <v>7964.7507618699292</v>
      </c>
      <c r="U106" s="5">
        <f>'sv02'!$AA$4+'sv02'!$Z$4*($B106-$R106/3600)+'sv02'!$Y$4*($B106-$R106/3600)^2+'sv02'!$X$4*($B106-$R106/3600)^3+'sv02'!$W$4*($B106-$R106/3600)^4+'sv02'!$V$4*($B106-$R106/3600)^5+'sv02'!$U$4*($B106-$R106/3600)^6+'sv02'!$T$4*($B106-$R106/3600)^7+'sv02'!$S$4*($B106-$R106/3600)^8-M106*coord!$B$7*R106</f>
        <v>-14399.234912157428</v>
      </c>
      <c r="V106" s="5">
        <f>'sv02'!$AA$5+'sv02'!$Z$5*($B106-$R106/3600)+'sv02'!$Y$5*($B106-$R106/3600)^2+'sv02'!$X$5*($B106-$R106/3600)^3+'sv02'!$W$5*($B106-$R106/3600)^4+'sv02'!$V$5*($B106-$R106/3600)^5+'sv02'!$U$5*($B106-$R106/3600)^6+'sv02'!$T$5*($B106-$R106/3600)^7+'sv02'!$S$5*($B106-$R106/3600)^8</f>
        <v>20742.864835945773</v>
      </c>
      <c r="W106">
        <f>coord!$B$6*P106/10^6</f>
        <v>77224.346369886669</v>
      </c>
      <c r="X106">
        <f>SQRT(($T106*1000+coord!$B$7*$R106*$U106*1000-coord!$B$2)^2+($U106*1000-coord!$B$7*$R106*$T106*1000-coord!$C$2)^2+($V106*1000-coord!$D$2)^2)</f>
        <v>22600914.727282356</v>
      </c>
      <c r="Y106" s="3">
        <f>$D106-(X106-$W106)-coord!$E$2</f>
        <v>-52.609863098710775</v>
      </c>
      <c r="Z106" s="3"/>
      <c r="AB106">
        <f>-(T106*1000-coord!$B$2)/$X106</f>
        <v>-0.15821804711087056</v>
      </c>
      <c r="AC106">
        <f>-(U106*1000-coord!$C$2)/$X106</f>
        <v>0.67801703206549968</v>
      </c>
      <c r="AD106">
        <f>-(V106*1000-coord!$D$2)/$X106</f>
        <v>-0.71781504232933047</v>
      </c>
      <c r="AE106">
        <v>1</v>
      </c>
      <c r="AG106">
        <f t="array" ref="AG106:AM109">TRANSPOSE(AB106:AE112)</f>
        <v>-0.15821804711087056</v>
      </c>
      <c r="AH106">
        <v>-0.18089911441914772</v>
      </c>
      <c r="AI106">
        <v>-0.16293900032795722</v>
      </c>
      <c r="AJ106">
        <v>-0.83502199458649062</v>
      </c>
      <c r="AK106">
        <v>-0.42254283381830265</v>
      </c>
      <c r="AL106">
        <v>-0.47769629104466055</v>
      </c>
      <c r="AM106">
        <v>-0.96697613334770982</v>
      </c>
      <c r="AO106">
        <f t="array" ref="AO106:AR109">MMULT(AG106:AM109,AB106:AE112)</f>
        <v>2.1233473246533996</v>
      </c>
      <c r="AP106">
        <v>0.30077679910635324</v>
      </c>
      <c r="AQ106">
        <v>1.1257265278891531</v>
      </c>
      <c r="AR106">
        <v>-3.2042934146551394</v>
      </c>
      <c r="AT106">
        <f t="array" ref="AT106:AW109">MINVERSE(AO106:AR109)</f>
        <v>2.577525285426594</v>
      </c>
      <c r="AU106">
        <v>0.11290623614978808</v>
      </c>
      <c r="AV106">
        <v>1.6092775589580464</v>
      </c>
      <c r="AW106">
        <v>1.9719003900524918</v>
      </c>
      <c r="AY106">
        <f t="array" ref="AY106:AY109">MMULT(AG106:AM109,Y106:Y112)</f>
        <v>4.3367154916223782E-2</v>
      </c>
      <c r="BA106">
        <f t="array" ref="BA106:BA109">MMULT(AT106:AW109,AY106:AY109)</f>
        <v>9.3991741369396777</v>
      </c>
      <c r="BD106">
        <f>SQRT(($T106*1000+coord!$B$7*$R106*$U106*1000-coord!$B$2-BA$106)^2+($U106*1000-coord!$B$7*$R106*$T106*1000-coord!$C$2-BA$107)^2+($V106*1000-coord!$D$2-BA$108)^2)</f>
        <v>22600858.428220823</v>
      </c>
      <c r="BE106" s="3">
        <f>$D106-(BD106-$W106)-BA$109</f>
        <v>-5.3330560860411254</v>
      </c>
      <c r="BG106" s="1">
        <f>coord!$B$2+$BA106</f>
        <v>4388887.5699741375</v>
      </c>
      <c r="BH106" s="1">
        <f>coord!$C$2+$BA107</f>
        <v>924513.79158610618</v>
      </c>
      <c r="BI106" s="1">
        <f>coord!$D$2+$BA108</f>
        <v>4519611.3402209198</v>
      </c>
      <c r="BJ106" s="1">
        <f>coord!$E$2+$BA109</f>
        <v>9.0222545203940001</v>
      </c>
      <c r="BK106" s="8">
        <f>lat($BG106,$BH106,$BI106)</f>
        <v>45.411332559105333</v>
      </c>
      <c r="BL106" s="8">
        <f>lon($BG106,$BH106,$BI106)</f>
        <v>11.895376508568173</v>
      </c>
      <c r="BM106" s="6">
        <f>h($BG106,$BH106,$BI106)</f>
        <v>76.839936685748398</v>
      </c>
      <c r="BO106">
        <f>grado($BK106)</f>
        <v>45</v>
      </c>
      <c r="BP106">
        <f>MINUTOprimo($BK106)</f>
        <v>24</v>
      </c>
      <c r="BQ106">
        <f>MINUTOsecondo($BK106)</f>
        <v>40.797212779197025</v>
      </c>
      <c r="BR106">
        <f>grado($BL106)</f>
        <v>11</v>
      </c>
      <c r="BS106">
        <f>MINUTOprimo($BL106)</f>
        <v>53</v>
      </c>
      <c r="BT106">
        <f>MINUTOsecondo($BL106)</f>
        <v>43.355430845423086</v>
      </c>
      <c r="BV106">
        <f>-SIN(RADIANS(BK106))*COS(RADIANS(BL106))</f>
        <v>-0.69687161245210261</v>
      </c>
      <c r="BW106">
        <f>-SIN(RADIANS(BL106))</f>
        <v>-0.20612522379755857</v>
      </c>
      <c r="BX106">
        <f>COS(RADIANS(BK106))*COS(RADIANS(BL106))</f>
        <v>0.68693693151031909</v>
      </c>
      <c r="BZ106" t="s">
        <v>93</v>
      </c>
      <c r="CA106">
        <f t="array" ref="CA106:CC108">MINVERSE(BV106:BX108)</f>
        <v>-0.69687161245210272</v>
      </c>
      <c r="CB106">
        <v>-0.14679515171097671</v>
      </c>
      <c r="CC106">
        <v>0.70201220729596836</v>
      </c>
      <c r="CD106">
        <v>0</v>
      </c>
      <c r="CE106" s="1">
        <f t="array" ref="CE106:CE108">MMULT(CA106:CC108,BA106:BA108)</f>
        <v>17.924959793089638</v>
      </c>
      <c r="CG106" s="1">
        <f t="array" ref="CG106:CI106">TRANSPOSE(CE106:CE108)</f>
        <v>17.924959793089638</v>
      </c>
      <c r="CH106" s="1">
        <v>-57.147401679223933</v>
      </c>
      <c r="CI106" s="1">
        <v>14.719035106002696</v>
      </c>
      <c r="CK106">
        <f t="array" ref="CK106:CN109">MMULT(CA106:CD109,AT106:AW109)</f>
        <v>-0.68304579854001335</v>
      </c>
      <c r="CL106">
        <v>0.13881318537267298</v>
      </c>
      <c r="CM106">
        <v>0.62681934062807332</v>
      </c>
      <c r="CN106">
        <v>-1.9014834773103395E-3</v>
      </c>
      <c r="CP106">
        <f t="array" ref="CP106:CS109">TRANSPOSE(CA106:CD109)</f>
        <v>-0.69687161245210272</v>
      </c>
      <c r="CQ106">
        <v>-0.20612522379755857</v>
      </c>
      <c r="CR106">
        <v>0.6869369315103192</v>
      </c>
      <c r="CS106">
        <v>0</v>
      </c>
      <c r="CU106" s="5">
        <f t="array" ref="CU106:CX109">MMULT(CK106:CN109,CP106:CS109)</f>
        <v>0.89565295329106487</v>
      </c>
      <c r="CV106" s="5">
        <v>0.27662522659017269</v>
      </c>
      <c r="CW106" s="5">
        <v>-2.7240405309368332E-3</v>
      </c>
      <c r="CX106" s="5">
        <v>-1.9014834773103395E-3</v>
      </c>
      <c r="CZ106" s="3">
        <f>SQRT(CU106+CV107)</f>
        <v>1.1951310952212078</v>
      </c>
      <c r="DA106" s="3">
        <f>CW108</f>
        <v>4.215275577161071</v>
      </c>
      <c r="DB106" s="3">
        <f>CX109</f>
        <v>2.0378716821675131</v>
      </c>
      <c r="DC106" s="3">
        <f>BG113</f>
        <v>3.981028316759462</v>
      </c>
      <c r="DD106">
        <v>6</v>
      </c>
      <c r="DE106" s="6">
        <f>DB106*DD106*DC106</f>
        <v>48.676949235786651</v>
      </c>
      <c r="DF106">
        <v>5.33</v>
      </c>
      <c r="DG106" s="6">
        <f>DC106*DF106*SQRT(0.5*(CU106+CV107)+SQRT((0.5*(CU106-CV107))^2+CV106^2))</f>
        <v>21.691190940777936</v>
      </c>
    </row>
    <row r="107" spans="1:111">
      <c r="A107">
        <v>30</v>
      </c>
      <c r="B107">
        <f t="shared" si="41"/>
        <v>0.5</v>
      </c>
      <c r="C107">
        <v>23</v>
      </c>
      <c r="D107">
        <f>tetto!D107*coord!$B$13-tetto!G107*coord!$B$14</f>
        <v>21171106.575345639</v>
      </c>
      <c r="E107" s="5">
        <f>90-DEGREES(ACOS((coord!$B$2*($T107*1000-coord!$B$2)+coord!$C$2*($U107*1000-coord!$C$2)+coord!$D$2*($V107*1000-coord!$D$2))/(SQRT(coord!$B$2^2+coord!$C$2^2+coord!$D$2^2)*SQRT(($T107*1000-coord!$B$2)^2+($U107*1000-coord!$C$2)^2+($V107*1000-coord!$D$2)^2))))</f>
        <v>50.375817594044896</v>
      </c>
      <c r="F107">
        <f>(coord!$C$2*($V107*1000-coord!$D$2)-coord!$D$2*($U107*1000-coord!$C$2))/(SQRT(coord!$B$2^2+coord!$C$2^2+coord!$D$2^2)*SQRT(($T107*1000-coord!$B$2)^2+($U107*1000-coord!$C$2)^2+($V107*1000-coord!$D$2)^2))</f>
        <v>-0.30163462692381332</v>
      </c>
      <c r="G107">
        <f>(-coord!$B$2*($V107*1000-coord!$D$2)+coord!$D$2*($T107*1000-coord!$B$2))/(SQRT(coord!$B$2^2+coord!$C$2^2+coord!$D$2^2)*SQRT(($T107*1000-coord!$B$2)^2+($U107*1000-coord!$C$2)^2+($V107*1000-coord!$D$2)^2))</f>
        <v>-0.41578853541057115</v>
      </c>
      <c r="H107">
        <f>(coord!$B$2*($U107*1000-coord!$C$2)-coord!$C$2*($T107*1000-coord!$B$2))/(SQRT(coord!$B$2^2+coord!$C$2^2+coord!$D$2^2)*SQRT(($T107*1000-coord!$B$2)^2+($U107*1000-coord!$C$2)^2+($V107*1000-coord!$D$2)^2))</f>
        <v>0.37796879291146757</v>
      </c>
      <c r="I107">
        <f t="shared" si="57"/>
        <v>0.53657692756266129</v>
      </c>
      <c r="J107">
        <f t="shared" si="58"/>
        <v>-0.34468233351366684</v>
      </c>
      <c r="K107">
        <f t="shared" si="59"/>
        <v>1.803475609938765E-3</v>
      </c>
      <c r="L107">
        <f t="shared" si="60"/>
        <v>57.284420792825095</v>
      </c>
      <c r="M107" s="5">
        <f>'sv23'!$AA$3+'sv23'!$Z$3*($B107)+'sv23'!$Y$3*($B107)^2+'sv23'!$X$3*($B107)^3+'sv23'!$W$3*($B107)^4+'sv23'!$V$3*($B107)^5+'sv23'!$U$3*($B107)^6+'sv23'!$T$3*($B107)^7+'sv23'!$S$3*($B107)^8</f>
        <v>8238.587502726743</v>
      </c>
      <c r="N107" s="5">
        <f>'sv23'!$AA$4+'sv23'!$Z$4*($B107)+'sv23'!$Y$4*($B107)^2+'sv23'!$X$4*($B107)^3+'sv23'!$W$4*($B107)^4+'sv23'!$V$4*($B107)^5+'sv23'!$U$4*($B107)^6+'sv23'!$T$4*($B107)^7+'sv23'!$S$4*($B107)^8</f>
        <v>13405.973873351439</v>
      </c>
      <c r="O107" s="5">
        <f>'sv23'!$AA$5+'sv23'!$Z$5*($B107)+'sv23'!$Y$5*($B107)^2+'sv23'!$X$5*($B107)^3+'sv23'!$W$5*($B107)^4+'sv23'!$V$5*($B107)^5+'sv23'!$U$5*($B107)^6+'sv23'!$T$5*($B107)^7+'sv23'!$S$5*($B107)^8</f>
        <v>21322.003284301722</v>
      </c>
      <c r="P107" s="5">
        <f>'sv23'!$AA$6+'sv23'!$Z$6*$B107+'sv23'!$Y$6*$B107^2+'sv23'!$X$6*$B107^3+'sv23'!$W$6*$B107^4+'sv23'!$V$6*$B107^5+'sv23'!$U$6*$B107^6+'sv23'!$T$6*$B107^7+'sv23'!$S$6*$B107^8</f>
        <v>370.05634449228177</v>
      </c>
      <c r="R107">
        <f>SQRT(($M107*1000-coord!$B$2)^2+($N107*1000-coord!$C$2)^2+($O107*1000-coord!$D$2)^2)/coord!$B$6</f>
        <v>7.0989371346243391E-2</v>
      </c>
      <c r="T107" s="5">
        <f>'sv23'!$AA$3+'sv23'!$Z$3*($B107-$R107/3600)+'sv23'!$Y$3*($B107-$R107/3600)^2+'sv23'!$X$3*($B107-$R107/3600)^3+'sv23'!$W$3*($B107-$R107/3600)^4+'sv23'!$V$3*($B107-$R107/3600)^5+'sv23'!$U$3*($B107-$R107/3600)^6+'sv23'!$T$3*($B107-$R107/3600)^7+'sv23'!$S$3*($B107-$R107/3600)^8+N107*coord!$B$7*R107</f>
        <v>8238.7778881780232</v>
      </c>
      <c r="U107" s="5">
        <f>'sv23'!$AA$4+'sv23'!$Z$4*($B107-$R107/3600)+'sv23'!$Y$4*($B107-$R107/3600)^2+'sv23'!$X$4*($B107-$R107/3600)^3+'sv23'!$W$4*($B107-$R107/3600)^4+'sv23'!$V$4*($B107-$R107/3600)^5+'sv23'!$U$4*($B107-$R107/3600)^6+'sv23'!$T$4*($B107-$R107/3600)^7+'sv23'!$S$4*($B107-$R107/3600)^8-M107*coord!$B$7*R107</f>
        <v>13405.780907873044</v>
      </c>
      <c r="V107" s="5">
        <f>'sv23'!$AA$5+'sv23'!$Z$5*($B107-$R107/3600)+'sv23'!$Y$5*($B107-$R107/3600)^2+'sv23'!$X$5*($B107-$R107/3600)^3+'sv23'!$W$5*($B107-$R107/3600)^4+'sv23'!$V$5*($B107-$R107/3600)^5+'sv23'!$U$5*($B107-$R107/3600)^6+'sv23'!$T$5*($B107-$R107/3600)^7+'sv23'!$S$5*($B107-$R107/3600)^8</f>
        <v>21322.053183940934</v>
      </c>
      <c r="W107">
        <f>coord!$B$6*P107/10^6</f>
        <v>110940.1011138359</v>
      </c>
      <c r="X107">
        <f>SQRT(($T107*1000+coord!$B$7*$R107*$U107*1000-coord!$B$2)^2+($U107*1000-coord!$B$7*$R107*$T107*1000-coord!$C$2)^2+($V107*1000-coord!$D$2)^2)</f>
        <v>21282026.336832751</v>
      </c>
      <c r="Y107" s="3">
        <f>$D107-(X107-$W107)-coord!$E$2</f>
        <v>20.339626725763083</v>
      </c>
      <c r="Z107" s="3"/>
      <c r="AB107">
        <f>-(T107*1000-coord!$B$2)/$X107</f>
        <v>-0.18089911441914772</v>
      </c>
      <c r="AC107">
        <f>-(U107*1000-coord!$C$2)/$X107</f>
        <v>-0.58646721402988977</v>
      </c>
      <c r="AD107">
        <f>-(V107*1000-coord!$D$2)/$X107</f>
        <v>-0.78951433682613925</v>
      </c>
      <c r="AE107">
        <v>1</v>
      </c>
      <c r="AG107">
        <v>0.67801703206549968</v>
      </c>
      <c r="AH107">
        <v>-0.58646721402988977</v>
      </c>
      <c r="AI107">
        <v>0.75122442649101029</v>
      </c>
      <c r="AJ107">
        <v>0.37183024044647678</v>
      </c>
      <c r="AK107">
        <v>-0.90618117594322889</v>
      </c>
      <c r="AL107">
        <v>-0.22158000696754132</v>
      </c>
      <c r="AM107">
        <v>-0.25450659871765424</v>
      </c>
      <c r="AO107">
        <v>0.30077679910635324</v>
      </c>
      <c r="AP107">
        <v>2.4412823874825391</v>
      </c>
      <c r="AQ107">
        <v>-0.44758002535619351</v>
      </c>
      <c r="AR107">
        <v>-0.16766329665532742</v>
      </c>
      <c r="AT107">
        <v>0.11290623614978837</v>
      </c>
      <c r="AU107">
        <v>0.48951701226698174</v>
      </c>
      <c r="AV107">
        <v>0.41217667910597772</v>
      </c>
      <c r="AW107">
        <v>0.2655726633765671</v>
      </c>
      <c r="AY107">
        <v>-146.75058516749834</v>
      </c>
      <c r="BA107">
        <v>-56.42161389381171</v>
      </c>
      <c r="BD107">
        <f>SQRT(($T107*1000+coord!$B$7*$R107*$U107*1000-coord!$B$2-BA$106)^2+($U107*1000-coord!$B$7*$R107*$T107*1000-coord!$C$2-BA$107)^2+($V107*1000-coord!$D$2-BA$108)^2)</f>
        <v>21282039.515023492</v>
      </c>
      <c r="BE107" s="3">
        <f t="shared" ref="BE107:BE112" si="61">$D107-(BD107-$W107)-BA$109</f>
        <v>-1.8608185363189307</v>
      </c>
      <c r="BG107" s="1"/>
      <c r="BH107" s="1"/>
      <c r="BI107" s="1"/>
      <c r="BV107">
        <f>-SIN(RADIANS(BK106))*SIN(RADIANS(BL106))</f>
        <v>-0.14679515171097668</v>
      </c>
      <c r="BW107">
        <f>COS(RADIANS(BL106))</f>
        <v>0.97852562159322454</v>
      </c>
      <c r="BX107">
        <f>COS(RADIANS(BK106))*SIN(RADIANS(BL106))</f>
        <v>0.14470242333749958</v>
      </c>
      <c r="BZ107" t="s">
        <v>94</v>
      </c>
      <c r="CA107">
        <v>-0.20612522379755857</v>
      </c>
      <c r="CB107">
        <v>0.97852562159322454</v>
      </c>
      <c r="CC107">
        <v>0</v>
      </c>
      <c r="CD107">
        <v>0</v>
      </c>
      <c r="CE107" s="1">
        <v>-57.147401679223933</v>
      </c>
      <c r="CG107" s="1"/>
      <c r="CH107" s="1"/>
      <c r="CI107" s="1"/>
      <c r="CK107">
        <v>-0.42081133139219962</v>
      </c>
      <c r="CL107">
        <v>0.45573211551449139</v>
      </c>
      <c r="CM107">
        <v>7.1612744135791828E-2</v>
      </c>
      <c r="CN107">
        <v>-0.14658875369733942</v>
      </c>
      <c r="CP107">
        <v>-0.14679515171097671</v>
      </c>
      <c r="CQ107">
        <v>0.97852562159322454</v>
      </c>
      <c r="CR107">
        <v>0.14470242333749958</v>
      </c>
      <c r="CS107">
        <v>0</v>
      </c>
      <c r="CU107" s="5">
        <v>0.2766252265901728</v>
      </c>
      <c r="CV107" s="5">
        <v>0.53268538147357858</v>
      </c>
      <c r="CW107" s="5">
        <v>-0.17212521965223854</v>
      </c>
      <c r="CX107" s="5">
        <v>-0.14658875369733942</v>
      </c>
    </row>
    <row r="108" spans="1:111">
      <c r="A108">
        <v>30</v>
      </c>
      <c r="B108">
        <f t="shared" si="41"/>
        <v>0.5</v>
      </c>
      <c r="C108">
        <v>10</v>
      </c>
      <c r="D108">
        <f>tetto!D108*coord!$B$13-tetto!G108*coord!$B$14</f>
        <v>22822322.891395882</v>
      </c>
      <c r="E108" s="5">
        <f>90-DEGREES(ACOS((coord!$B$2*($T108*1000-coord!$B$2)+coord!$C$2*($U108*1000-coord!$C$2)+coord!$D$2*($V108*1000-coord!$D$2))/(SQRT(coord!$B$2^2+coord!$C$2^2+coord!$D$2^2)*SQRT(($T108*1000-coord!$B$2)^2+($U108*1000-coord!$C$2)^2+($V108*1000-coord!$D$2)^2))))</f>
        <v>27.20857158512402</v>
      </c>
      <c r="F108">
        <f>(coord!$C$2*($V108*1000-coord!$D$2)-coord!$D$2*($U108*1000-coord!$C$2))/(SQRT(coord!$B$2^2+coord!$C$2^2+coord!$D$2^2)*SQRT(($T108*1000-coord!$B$2)^2+($U108*1000-coord!$C$2)^2+($V108*1000-coord!$D$2)^2))</f>
        <v>0.62609561878163955</v>
      </c>
      <c r="G108">
        <f>(-coord!$B$2*($V108*1000-coord!$D$2)+coord!$D$2*($T108*1000-coord!$B$2))/(SQRT(coord!$B$2^2+coord!$C$2^2+coord!$D$2^2)*SQRT(($T108*1000-coord!$B$2)^2+($U108*1000-coord!$C$2)^2+($V108*1000-coord!$D$2)^2))</f>
        <v>-0.32521754449200491</v>
      </c>
      <c r="H108">
        <f>(coord!$B$2*($U108*1000-coord!$C$2)-coord!$C$2*($T108*1000-coord!$B$2))/(SQRT(coord!$B$2^2+coord!$C$2^2+coord!$D$2^2)*SQRT(($T108*1000-coord!$B$2)^2+($U108*1000-coord!$C$2)^2+($V108*1000-coord!$D$2)^2))</f>
        <v>-0.54145882127635281</v>
      </c>
      <c r="I108">
        <f t="shared" si="57"/>
        <v>-0.76867619017220834</v>
      </c>
      <c r="J108">
        <f t="shared" si="58"/>
        <v>-0.44729194896033309</v>
      </c>
      <c r="K108">
        <f t="shared" si="59"/>
        <v>-2.5801741330003236E-3</v>
      </c>
      <c r="L108">
        <f t="shared" si="60"/>
        <v>-59.804915321889183</v>
      </c>
      <c r="M108" s="5">
        <f>'sv10'!$AA$3+'sv10'!$Z$3*($B108)+'sv10'!$Y$3*($B108)^2+'sv10'!$X$3*($B108)^3+'sv10'!$W$3*($B108)^4+'sv10'!$V$3*($B108)^5+'sv10'!$U$3*($B108)^6+'sv10'!$T$3*($B108)^7+'sv10'!$S$3*($B108)^8</f>
        <v>8105.6032964534525</v>
      </c>
      <c r="N108" s="5">
        <f>'sv10'!$AA$4+'sv10'!$Z$4*($B108)+'sv10'!$Y$4*($B108)^2+'sv10'!$X$4*($B108)^3+'sv10'!$W$4*($B108)^4+'sv10'!$V$4*($B108)^5+'sv10'!$U$4*($B108)^6+'sv10'!$T$4*($B108)^7+'sv10'!$S$4*($B108)^8</f>
        <v>-16210.250852623927</v>
      </c>
      <c r="O108" s="5">
        <f>'sv10'!$AA$5+'sv10'!$Z$5*($B108)+'sv10'!$Y$5*($B108)^2+'sv10'!$X$5*($B108)^3+'sv10'!$W$5*($B108)^4+'sv10'!$V$5*($B108)^5+'sv10'!$U$5*($B108)^6+'sv10'!$T$5*($B108)^7+'sv10'!$S$5*($B108)^8</f>
        <v>19109.04992427383</v>
      </c>
      <c r="P108" s="5">
        <f>'sv10'!$AA$6+'sv10'!$Z$6*$B108+'sv10'!$Y$6*$B108^2+'sv10'!$X$6*$B108^3+'sv10'!$W$6*$B108^4+'sv10'!$V$6*$B108^5+'sv10'!$U$6*$B108^6+'sv10'!$T$6*$B108^7+'sv10'!$S$6*$B108^8</f>
        <v>-43.00160282441707</v>
      </c>
      <c r="R108">
        <f>SQRT(($M108*1000-coord!$B$2)^2+($N108*1000-coord!$C$2)^2+($O108*1000-coord!$D$2)^2)/coord!$B$6</f>
        <v>7.6083954215357227E-2</v>
      </c>
      <c r="T108" s="5">
        <f>'sv10'!$AA$3+'sv10'!$Z$3*($B108-$R108/3600)+'sv10'!$Y$3*($B108-$R108/3600)^2+'sv10'!$X$3*($B108-$R108/3600)^3+'sv10'!$W$3*($B108-$R108/3600)^4+'sv10'!$V$3*($B108-$R108/3600)^5+'sv10'!$U$3*($B108-$R108/3600)^6+'sv10'!$T$3*($B108-$R108/3600)^7+'sv10'!$S$3*($B108-$R108/3600)^8+N108*coord!$B$7*R108</f>
        <v>8105.4316083461572</v>
      </c>
      <c r="U108" s="5">
        <f>'sv10'!$AA$4+'sv10'!$Z$4*($B108-$R108/3600)+'sv10'!$Y$4*($B108-$R108/3600)^2+'sv10'!$X$4*($B108-$R108/3600)^3+'sv10'!$W$4*($B108-$R108/3600)^4+'sv10'!$V$4*($B108-$R108/3600)^5+'sv10'!$U$4*($B108-$R108/3600)^6+'sv10'!$T$4*($B108-$R108/3600)^7+'sv10'!$S$4*($B108-$R108/3600)^8-M108*coord!$B$7*R108</f>
        <v>-16210.466328231121</v>
      </c>
      <c r="V108" s="5">
        <f>'sv10'!$AA$5+'sv10'!$Z$5*($B108-$R108/3600)+'sv10'!$Y$5*($B108-$R108/3600)^2+'sv10'!$X$5*($B108-$R108/3600)^3+'sv10'!$W$5*($B108-$R108/3600)^4+'sv10'!$V$5*($B108-$R108/3600)^5+'sv10'!$U$5*($B108-$R108/3600)^6+'sv10'!$T$5*($B108-$R108/3600)^7+'sv10'!$S$5*($B108-$R108/3600)^8</f>
        <v>19108.938419855556</v>
      </c>
      <c r="W108">
        <f>coord!$B$6*P108/10^6</f>
        <v>-12891.556208671736</v>
      </c>
      <c r="X108">
        <f>SQRT(($T108*1000+coord!$B$7*$R108*$U108*1000-coord!$B$2)^2+($U108*1000-coord!$B$7*$R108*$T108*1000-coord!$C$2)^2+($V108*1000-coord!$D$2)^2)</f>
        <v>22809477.350822233</v>
      </c>
      <c r="Y108" s="3">
        <f>$D108-(X108-$W108)-coord!$E$2</f>
        <v>-46.015635021030903</v>
      </c>
      <c r="Z108" s="3"/>
      <c r="AB108">
        <f>-(T108*1000-coord!$B$2)/$X108</f>
        <v>-0.16293900032795722</v>
      </c>
      <c r="AC108">
        <f>-(U108*1000-coord!$C$2)/$X108</f>
        <v>0.75122442649101029</v>
      </c>
      <c r="AD108">
        <f>-(V108*1000-coord!$D$2)/$X108</f>
        <v>-0.63961790623973425</v>
      </c>
      <c r="AE108">
        <v>1</v>
      </c>
      <c r="AG108">
        <v>-0.71781504232933047</v>
      </c>
      <c r="AH108">
        <v>-0.78951433682613925</v>
      </c>
      <c r="AI108">
        <v>-0.63961790623973425</v>
      </c>
      <c r="AJ108">
        <v>-0.40556056433705806</v>
      </c>
      <c r="AK108">
        <v>-1.7174825987652558E-2</v>
      </c>
      <c r="AL108">
        <v>-0.85012282186464605</v>
      </c>
      <c r="AM108">
        <v>-1.3552017187150786E-2</v>
      </c>
      <c r="AO108">
        <v>1.1257265278891531</v>
      </c>
      <c r="AP108">
        <v>-0.44758002535619351</v>
      </c>
      <c r="AQ108">
        <v>2.4353692044488273</v>
      </c>
      <c r="AR108">
        <v>-3.433357514771711</v>
      </c>
      <c r="AT108">
        <v>1.6092775589580479</v>
      </c>
      <c r="AU108">
        <v>0.41217667910597755</v>
      </c>
      <c r="AV108">
        <v>2.576571614232138</v>
      </c>
      <c r="AW108">
        <v>2.0102851284880443</v>
      </c>
      <c r="AY108">
        <v>61.031495166242614</v>
      </c>
      <c r="BA108">
        <v>23.065920919904841</v>
      </c>
      <c r="BD108">
        <f>SQRT(($T108*1000+coord!$B$7*$R108*$U108*1000-coord!$B$2-BA$106)^2+($U108*1000-coord!$B$7*$R108*$T108*1000-coord!$C$2-BA$107)^2+($V108*1000-coord!$D$2-BA$108)^2)</f>
        <v>22809418.680593356</v>
      </c>
      <c r="BE108" s="3">
        <f t="shared" si="61"/>
        <v>3.6323393347485933</v>
      </c>
      <c r="BG108" s="1"/>
      <c r="BH108" s="1"/>
      <c r="BI108" s="1"/>
      <c r="BV108">
        <f>COS(RADIANS(BK106))</f>
        <v>0.70201220729596847</v>
      </c>
      <c r="BW108">
        <v>0</v>
      </c>
      <c r="BX108">
        <f>SIN(RADIANS(BK106))</f>
        <v>0.71216491124418801</v>
      </c>
      <c r="BZ108" t="s">
        <v>95</v>
      </c>
      <c r="CA108">
        <v>0.6869369315103192</v>
      </c>
      <c r="CB108">
        <v>0.14470242333749958</v>
      </c>
      <c r="CC108">
        <v>0.71216491124418801</v>
      </c>
      <c r="CD108">
        <v>0</v>
      </c>
      <c r="CE108" s="1">
        <v>14.719035106002696</v>
      </c>
      <c r="CG108" s="1"/>
      <c r="CH108" s="1"/>
      <c r="CI108" s="1"/>
      <c r="CK108">
        <v>2.9330061263846163</v>
      </c>
      <c r="CL108">
        <v>0.44193152944151232</v>
      </c>
      <c r="CM108">
        <v>3.0000590475728197</v>
      </c>
      <c r="CN108">
        <v>2.8246547412546432</v>
      </c>
      <c r="CP108">
        <v>0.70201220729596836</v>
      </c>
      <c r="CQ108">
        <v>0</v>
      </c>
      <c r="CR108">
        <v>0.71216491124418801</v>
      </c>
      <c r="CS108">
        <v>0</v>
      </c>
      <c r="CU108" s="5">
        <v>-2.724040530938332E-3</v>
      </c>
      <c r="CV108" s="5">
        <v>-0.17212521965223915</v>
      </c>
      <c r="CW108" s="5">
        <v>4.215275577161071</v>
      </c>
      <c r="CX108" s="5">
        <v>2.8246547412546432</v>
      </c>
    </row>
    <row r="109" spans="1:111">
      <c r="A109">
        <v>30</v>
      </c>
      <c r="B109">
        <f t="shared" si="41"/>
        <v>0.5</v>
      </c>
      <c r="C109">
        <v>4</v>
      </c>
      <c r="D109">
        <f>tetto!D109*coord!$B$13-tetto!G109*coord!$B$14</f>
        <v>21187860.478312153</v>
      </c>
      <c r="E109" s="5">
        <f>90-DEGREES(ACOS((coord!$B$2*($T109*1000-coord!$B$2)+coord!$C$2*($U109*1000-coord!$C$2)+coord!$D$2*($V109*1000-coord!$D$2))/(SQRT(coord!$B$2^2+coord!$C$2^2+coord!$D$2^2)*SQRT(($T109*1000-coord!$B$2)^2+($U109*1000-coord!$C$2)^2+($V109*1000-coord!$D$2)^2))))</f>
        <v>54.040788467375961</v>
      </c>
      <c r="F109">
        <f>(coord!$C$2*($V109*1000-coord!$D$2)-coord!$D$2*($U109*1000-coord!$C$2))/(SQRT(coord!$B$2^2+coord!$C$2^2+coord!$D$2^2)*SQRT(($T109*1000-coord!$B$2)^2+($U109*1000-coord!$C$2)^2+($V109*1000-coord!$D$2)^2))</f>
        <v>0.32281474306183289</v>
      </c>
      <c r="G109">
        <f>(-coord!$B$2*($V109*1000-coord!$D$2)+coord!$D$2*($T109*1000-coord!$B$2))/(SQRT(coord!$B$2^2+coord!$C$2^2+coord!$D$2^2)*SQRT(($T109*1000-coord!$B$2)^2+($U109*1000-coord!$C$2)^2+($V109*1000-coord!$D$2)^2))</f>
        <v>0.31315787247752791</v>
      </c>
      <c r="H109">
        <f>(coord!$B$2*($U109*1000-coord!$C$2)-coord!$C$2*($T109*1000-coord!$B$2))/(SQRT(coord!$B$2^2+coord!$C$2^2+coord!$D$2^2)*SQRT(($T109*1000-coord!$B$2)^2+($U109*1000-coord!$C$2)^2+($V109*1000-coord!$D$2)^2))</f>
        <v>-0.37754125296348467</v>
      </c>
      <c r="I109">
        <f t="shared" si="57"/>
        <v>-0.53597035966552897</v>
      </c>
      <c r="J109">
        <f t="shared" si="58"/>
        <v>0.239889847362941</v>
      </c>
      <c r="K109">
        <f t="shared" si="59"/>
        <v>-1.8010591759174965E-3</v>
      </c>
      <c r="L109">
        <f t="shared" si="60"/>
        <v>245.88764449004259</v>
      </c>
      <c r="M109" s="5">
        <f>'sv04'!$AA$3+'sv04'!$Z$3*($B109)+'sv04'!$Y$3*($B109)^2+'sv04'!$X$3*($B109)^3+'sv04'!$W$3*($B109)^4+'sv04'!$V$3*($B109)^5+'sv04'!$U$3*($B109)^6+'sv04'!$T$3*($B109)^7+'sv04'!$S$3*($B109)^8</f>
        <v>22103.060243282973</v>
      </c>
      <c r="N109" s="5">
        <f>'sv04'!$AA$4+'sv04'!$Z$4*($B109)+'sv04'!$Y$4*($B109)^2+'sv04'!$X$4*($B109)^3+'sv04'!$W$4*($B109)^4+'sv04'!$V$4*($B109)^5+'sv04'!$U$4*($B109)^6+'sv04'!$T$4*($B109)^7+'sv04'!$S$4*($B109)^8</f>
        <v>-6963.2335493617193</v>
      </c>
      <c r="O109" s="5">
        <f>'sv04'!$AA$5+'sv04'!$Z$5*($B109)+'sv04'!$Y$5*($B109)^2+'sv04'!$X$5*($B109)^3+'sv04'!$W$5*($B109)^4+'sv04'!$V$5*($B109)^5+'sv04'!$U$5*($B109)^6+'sv04'!$T$5*($B109)^7+'sv04'!$S$5*($B109)^8</f>
        <v>13122.915017055439</v>
      </c>
      <c r="P109" s="5">
        <f>'sv04'!$AA$6+'sv04'!$Z$6*$B109+'sv04'!$Y$6*$B109^2+'sv04'!$X$6*$B109^3+'sv04'!$W$6*$B109^4+'sv04'!$V$6*$B109^5+'sv04'!$U$6*$B109^6+'sv04'!$T$6*$B109^7+'sv04'!$S$6*$B109^8</f>
        <v>86.60225528501374</v>
      </c>
      <c r="R109">
        <f>SQRT(($M109*1000-coord!$B$2)^2+($N109*1000-coord!$C$2)^2+($O109*1000-coord!$D$2)^2)/coord!$B$6</f>
        <v>7.0761747020986601E-2</v>
      </c>
      <c r="T109" s="5">
        <f>'sv04'!$AA$3+'sv04'!$Z$3*($B109-$R109/3600)+'sv04'!$Y$3*($B109-$R109/3600)^2+'sv04'!$X$3*($B109-$R109/3600)^3+'sv04'!$W$3*($B109-$R109/3600)^4+'sv04'!$V$3*($B109-$R109/3600)^5+'sv04'!$U$3*($B109-$R109/3600)^6+'sv04'!$T$3*($B109-$R109/3600)^7+'sv04'!$S$3*($B109-$R109/3600)^8+N109*coord!$B$7*R109</f>
        <v>22102.90814794922</v>
      </c>
      <c r="U109" s="5">
        <f>'sv04'!$AA$4+'sv04'!$Z$4*($B109-$R109/3600)+'sv04'!$Y$4*($B109-$R109/3600)^2+'sv04'!$X$4*($B109-$R109/3600)^3+'sv04'!$W$4*($B109-$R109/3600)^4+'sv04'!$V$4*($B109-$R109/3600)^5+'sv04'!$U$4*($B109-$R109/3600)^6+'sv04'!$T$4*($B109-$R109/3600)^7+'sv04'!$S$4*($B109-$R109/3600)^8-M109*coord!$B$7*R109</f>
        <v>-6963.3801262892403</v>
      </c>
      <c r="V109" s="5">
        <f>'sv04'!$AA$5+'sv04'!$Z$5*($B109-$R109/3600)+'sv04'!$Y$5*($B109-$R109/3600)^2+'sv04'!$X$5*($B109-$R109/3600)^3+'sv04'!$W$5*($B109-$R109/3600)^4+'sv04'!$V$5*($B109-$R109/3600)^5+'sv04'!$U$5*($B109-$R109/3600)^6+'sv04'!$T$5*($B109-$R109/3600)^7+'sv04'!$S$5*($B109-$R109/3600)^8</f>
        <v>13123.088590209438</v>
      </c>
      <c r="W109">
        <f>coord!$B$6*P109/10^6</f>
        <v>25962.702980237758</v>
      </c>
      <c r="X109">
        <f>SQRT(($T109*1000+coord!$B$7*$R109*$U109*1000-coord!$B$2)^2+($U109*1000-coord!$B$7*$R109*$T109*1000-coord!$C$2)^2+($V109*1000-coord!$D$2)^2)</f>
        <v>21213848.368055675</v>
      </c>
      <c r="Y109" s="3">
        <f>$D109-(X109-$W109)-coord!$E$2</f>
        <v>-25.186763282865286</v>
      </c>
      <c r="Z109" s="3"/>
      <c r="AB109">
        <f>-(T109*1000-coord!$B$2)/$X109</f>
        <v>-0.83502199458649062</v>
      </c>
      <c r="AC109">
        <f>-(U109*1000-coord!$C$2)/$X109</f>
        <v>0.37183024044647678</v>
      </c>
      <c r="AD109">
        <f>-(V109*1000-coord!$D$2)/$X109</f>
        <v>-0.40556056433705806</v>
      </c>
      <c r="AE109">
        <v>1</v>
      </c>
      <c r="AG109">
        <v>1</v>
      </c>
      <c r="AH109">
        <v>1</v>
      </c>
      <c r="AI109">
        <v>1</v>
      </c>
      <c r="AJ109">
        <v>1</v>
      </c>
      <c r="AK109">
        <v>1</v>
      </c>
      <c r="AL109">
        <v>1</v>
      </c>
      <c r="AM109">
        <v>1</v>
      </c>
      <c r="AO109">
        <v>-3.2042934146551394</v>
      </c>
      <c r="AP109">
        <v>-0.16766329665532742</v>
      </c>
      <c r="AQ109">
        <v>-3.433357514771711</v>
      </c>
      <c r="AR109">
        <v>7</v>
      </c>
      <c r="AT109">
        <v>1.971900390052493</v>
      </c>
      <c r="AU109">
        <v>0.26557266337656693</v>
      </c>
      <c r="AV109">
        <v>2.0102851284880439</v>
      </c>
      <c r="AW109">
        <v>2.0378716821675131</v>
      </c>
      <c r="AY109">
        <v>-36.695649284869432</v>
      </c>
      <c r="BA109">
        <v>9.0222545203940001</v>
      </c>
      <c r="BD109">
        <f>SQRT(($T109*1000+coord!$B$7*$R109*$U109*1000-coord!$B$2-BA$106)^2+($U109*1000-coord!$B$7*$R109*$T109*1000-coord!$C$2-BA$107)^2+($V109*1000-coord!$D$2-BA$108)^2)</f>
        <v>21213810.185416248</v>
      </c>
      <c r="BE109" s="3">
        <f t="shared" si="61"/>
        <v>3.9736216242237958</v>
      </c>
      <c r="BG109" s="1"/>
      <c r="BH109" s="1"/>
      <c r="BI109" s="1"/>
      <c r="CA109">
        <v>0</v>
      </c>
      <c r="CB109">
        <v>0</v>
      </c>
      <c r="CC109">
        <v>0</v>
      </c>
      <c r="CD109">
        <v>1</v>
      </c>
      <c r="CG109" s="1"/>
      <c r="CH109" s="1"/>
      <c r="CI109" s="1"/>
      <c r="CK109">
        <v>1.971900390052493</v>
      </c>
      <c r="CL109">
        <v>0.26557266337656693</v>
      </c>
      <c r="CM109">
        <v>2.0102851284880439</v>
      </c>
      <c r="CN109">
        <v>2.0378716821675131</v>
      </c>
      <c r="CP109">
        <v>0</v>
      </c>
      <c r="CQ109">
        <v>0</v>
      </c>
      <c r="CR109">
        <v>0</v>
      </c>
      <c r="CS109">
        <v>1</v>
      </c>
      <c r="CU109" s="5">
        <v>-1.9014834773112277E-3</v>
      </c>
      <c r="CV109" s="5">
        <v>-0.14658875369733981</v>
      </c>
      <c r="CW109" s="5">
        <v>2.8246547412546432</v>
      </c>
      <c r="CX109" s="5">
        <v>2.0378716821675131</v>
      </c>
    </row>
    <row r="110" spans="1:111">
      <c r="A110">
        <v>30</v>
      </c>
      <c r="B110">
        <f t="shared" si="41"/>
        <v>0.5</v>
      </c>
      <c r="C110">
        <v>20</v>
      </c>
      <c r="D110">
        <f>tetto!D110*coord!$B$13-tetto!G110*coord!$B$14</f>
        <v>23148444.384289823</v>
      </c>
      <c r="E110" s="5">
        <f>90-DEGREES(ACOS((coord!$B$2*($T110*1000-coord!$B$2)+coord!$C$2*($U110*1000-coord!$C$2)+coord!$D$2*($V110*1000-coord!$D$2))/(SQRT(coord!$B$2^2+coord!$C$2^2+coord!$D$2^2)*SQRT(($T110*1000-coord!$B$2)^2+($U110*1000-coord!$C$2)^2+($V110*1000-coord!$D$2)^2))))</f>
        <v>25.786489597918532</v>
      </c>
      <c r="F110">
        <f>(coord!$C$2*($V110*1000-coord!$D$2)-coord!$D$2*($U110*1000-coord!$C$2))/(SQRT(coord!$B$2^2+coord!$C$2^2+coord!$D$2^2)*SQRT(($T110*1000-coord!$B$2)^2+($U110*1000-coord!$C$2)^2+($V110*1000-coord!$D$2)^2))</f>
        <v>-0.64071427562155525</v>
      </c>
      <c r="G110">
        <f>(-coord!$B$2*($V110*1000-coord!$D$2)+coord!$D$2*($T110*1000-coord!$B$2))/(SQRT(coord!$B$2^2+coord!$C$2^2+coord!$D$2^2)*SQRT(($T110*1000-coord!$B$2)^2+($U110*1000-coord!$C$2)^2+($V110*1000-coord!$D$2)^2))</f>
        <v>0.28808310085987748</v>
      </c>
      <c r="H110">
        <f>(coord!$B$2*($U110*1000-coord!$C$2)-coord!$C$2*($T110*1000-coord!$B$2))/(SQRT(coord!$B$2^2+coord!$C$2^2+coord!$D$2^2)*SQRT(($T110*1000-coord!$B$2)^2+($U110*1000-coord!$C$2)^2+($V110*1000-coord!$D$2)^2))</f>
        <v>0.5632512719111169</v>
      </c>
      <c r="I110">
        <f t="shared" si="57"/>
        <v>0.79961342052037931</v>
      </c>
      <c r="J110">
        <f t="shared" si="58"/>
        <v>0.41396838534135127</v>
      </c>
      <c r="K110">
        <f t="shared" si="59"/>
        <v>2.6842051637901987E-3</v>
      </c>
      <c r="L110">
        <f t="shared" si="60"/>
        <v>117.37108396937359</v>
      </c>
      <c r="M110" s="5">
        <f>'sv20'!$AA$3+'sv20'!$Z$3*($B110)+'sv20'!$Y$3*($B110)^2+'sv20'!$X$3*($B110)^3+'sv20'!$W$3*($B110)^4+'sv20'!$V$3*($B110)^5+'sv20'!$U$3*($B110)^6+'sv20'!$T$3*($B110)^7+'sv20'!$S$3*($B110)^8</f>
        <v>14177.00679380188</v>
      </c>
      <c r="N110" s="5">
        <f>'sv20'!$AA$4+'sv20'!$Z$4*($B110)+'sv20'!$Y$4*($B110)^2+'sv20'!$X$4*($B110)^3+'sv20'!$W$4*($B110)^4+'sv20'!$V$4*($B110)^5+'sv20'!$U$4*($B110)^6+'sv20'!$T$4*($B110)^7+'sv20'!$S$4*($B110)^8</f>
        <v>21916.501549730838</v>
      </c>
      <c r="O110" s="5">
        <f>'sv20'!$AA$5+'sv20'!$Z$5*($B110)+'sv20'!$Y$5*($B110)^2+'sv20'!$X$5*($B110)^3+'sv20'!$W$5*($B110)^4+'sv20'!$V$5*($B110)^5+'sv20'!$U$5*($B110)^6+'sv20'!$T$5*($B110)^7+'sv20'!$S$5*($B110)^8</f>
        <v>4917.2105493223071</v>
      </c>
      <c r="P110" s="5">
        <f>'sv20'!$AA$6+'sv20'!$Z$6*$B110+'sv20'!$Y$6*$B110^2+'sv20'!$X$6*$B110^3+'sv20'!$W$6*$B110^4+'sv20'!$V$6*$B110^5+'sv20'!$U$6*$B110^6+'sv20'!$T$6*$B110^7+'sv20'!$S$6*$B110^8</f>
        <v>55.817727916267955</v>
      </c>
      <c r="R110">
        <f>SQRT(($M110*1000-coord!$B$2)^2+($N110*1000-coord!$C$2)^2+($O110*1000-coord!$D$2)^2)/coord!$B$6</f>
        <v>7.7270808184063081E-2</v>
      </c>
      <c r="T110" s="5">
        <f>'sv20'!$AA$3+'sv20'!$Z$3*($B110-$R110/3600)+'sv20'!$Y$3*($B110-$R110/3600)^2+'sv20'!$X$3*($B110-$R110/3600)^3+'sv20'!$W$3*($B110-$R110/3600)^4+'sv20'!$V$3*($B110-$R110/3600)^5+'sv20'!$U$3*($B110-$R110/3600)^6+'sv20'!$T$3*($B110-$R110/3600)^7+'sv20'!$S$3*($B110-$R110/3600)^8+N110*coord!$B$7*R110</f>
        <v>14177.13341529076</v>
      </c>
      <c r="U110" s="5">
        <f>'sv20'!$AA$4+'sv20'!$Z$4*($B110-$R110/3600)+'sv20'!$Y$4*($B110-$R110/3600)^2+'sv20'!$X$4*($B110-$R110/3600)^3+'sv20'!$W$4*($B110-$R110/3600)^4+'sv20'!$V$4*($B110-$R110/3600)^5+'sv20'!$U$4*($B110-$R110/3600)^6+'sv20'!$T$4*($B110-$R110/3600)^7+'sv20'!$S$4*($B110-$R110/3600)^8-M110*coord!$B$7*R110</f>
        <v>21916.365453772618</v>
      </c>
      <c r="V110" s="5">
        <f>'sv20'!$AA$5+'sv20'!$Z$5*($B110-$R110/3600)+'sv20'!$Y$5*($B110-$R110/3600)^2+'sv20'!$X$5*($B110-$R110/3600)^3+'sv20'!$W$5*($B110-$R110/3600)^4+'sv20'!$V$5*($B110-$R110/3600)^5+'sv20'!$U$5*($B110-$R110/3600)^6+'sv20'!$T$5*($B110-$R110/3600)^7+'sv20'!$S$5*($B110-$R110/3600)^8</f>
        <v>4917.4451709078967</v>
      </c>
      <c r="W110">
        <f>coord!$B$6*P110/10^6</f>
        <v>16733.733851993187</v>
      </c>
      <c r="X110">
        <f>SQRT(($T110*1000+coord!$B$7*$R110*$U110*1000-coord!$B$2)^2+($U110*1000-coord!$B$7*$R110*$T110*1000-coord!$C$2)^2+($V110*1000-coord!$D$2)^2)</f>
        <v>23165119.512356468</v>
      </c>
      <c r="Y110" s="3">
        <f>$D110-(X110-$W110)-coord!$E$2</f>
        <v>58.605785347521305</v>
      </c>
      <c r="Z110" s="3"/>
      <c r="AB110">
        <f>-(T110*1000-coord!$B$2)/$X110</f>
        <v>-0.42254283381830265</v>
      </c>
      <c r="AC110">
        <f>-(U110*1000-coord!$C$2)/$X110</f>
        <v>-0.90618117594322889</v>
      </c>
      <c r="AD110">
        <f>-(V110*1000-coord!$D$2)/$X110</f>
        <v>-1.7174825987652558E-2</v>
      </c>
      <c r="AE110">
        <v>1</v>
      </c>
      <c r="BD110">
        <f>SQRT(($T110*1000+coord!$B$7*$R110*$U110*1000-coord!$B$2-BA$106)^2+($U110*1000-coord!$B$7*$R110*$T110*1000-coord!$C$2-BA$107)^2+($V110*1000-coord!$D$2-BA$108)^2)</f>
        <v>23165166.272644274</v>
      </c>
      <c r="BE110" s="3">
        <f t="shared" si="61"/>
        <v>2.823243020735589</v>
      </c>
      <c r="BG110" s="1"/>
      <c r="BH110" s="1"/>
      <c r="BI110" s="1"/>
      <c r="CG110" s="1"/>
      <c r="CH110" s="1"/>
      <c r="CI110" s="1"/>
    </row>
    <row r="111" spans="1:111">
      <c r="A111">
        <v>30</v>
      </c>
      <c r="B111">
        <f t="shared" si="41"/>
        <v>0.5</v>
      </c>
      <c r="C111">
        <v>13</v>
      </c>
      <c r="D111">
        <f>tetto!D111*coord!$B$13-tetto!G111*coord!$B$14</f>
        <v>20160548.815068699</v>
      </c>
      <c r="E111" s="5">
        <f>90-DEGREES(ACOS((coord!$B$2*($T111*1000-coord!$B$2)+coord!$C$2*($U111*1000-coord!$C$2)+coord!$D$2*($V111*1000-coord!$D$2))/(SQRT(coord!$B$2^2+coord!$C$2^2+coord!$D$2^2)*SQRT(($T111*1000-coord!$B$2)^2+($U111*1000-coord!$C$2)^2+($V111*1000-coord!$D$2)^2))))</f>
        <v>74.764935459653586</v>
      </c>
      <c r="F111">
        <f>(coord!$C$2*($V111*1000-coord!$D$2)-coord!$D$2*($U111*1000-coord!$C$2))/(SQRT(coord!$B$2^2+coord!$C$2^2+coord!$D$2^2)*SQRT(($T111*1000-coord!$B$2)^2+($U111*1000-coord!$C$2)^2+($V111*1000-coord!$D$2)^2))</f>
        <v>-3.3836761585130229E-2</v>
      </c>
      <c r="G111">
        <f>(-coord!$B$2*($V111*1000-coord!$D$2)+coord!$D$2*($T111*1000-coord!$B$2))/(SQRT(coord!$B$2^2+coord!$C$2^2+coord!$D$2^2)*SQRT(($T111*1000-coord!$B$2)^2+($U111*1000-coord!$C$2)^2+($V111*1000-coord!$D$2)^2))</f>
        <v>-0.24689750619785808</v>
      </c>
      <c r="H111">
        <f>(coord!$B$2*($U111*1000-coord!$C$2)-coord!$C$2*($T111*1000-coord!$B$2))/(SQRT(coord!$B$2^2+coord!$C$2^2+coord!$D$2^2)*SQRT(($T111*1000-coord!$B$2)^2+($U111*1000-coord!$C$2)^2+($V111*1000-coord!$D$2)^2))</f>
        <v>8.3365891175961201E-2</v>
      </c>
      <c r="I111">
        <f t="shared" si="57"/>
        <v>0.11834838042625798</v>
      </c>
      <c r="J111">
        <f t="shared" si="58"/>
        <v>-0.23462028680255537</v>
      </c>
      <c r="K111">
        <f t="shared" si="59"/>
        <v>3.9835162970853349E-4</v>
      </c>
      <c r="L111">
        <f t="shared" si="60"/>
        <v>26.767527250288985</v>
      </c>
      <c r="M111" s="5">
        <f>'sv13'!$AA$3+'sv13'!$Z$3*($B111)+'sv13'!$Y$3*($B111)^2+'sv13'!$X$3*($B111)^3+'sv13'!$W$3*($B111)^4+'sv13'!$V$3*($B111)^5+'sv13'!$U$3*($B111)^6+'sv13'!$T$3*($B111)^7+'sv13'!$S$3*($B111)^8</f>
        <v>14062.91740334277</v>
      </c>
      <c r="N111" s="5">
        <f>'sv13'!$AA$4+'sv13'!$Z$4*($B111)+'sv13'!$Y$4*($B111)^2+'sv13'!$X$4*($B111)^3+'sv13'!$W$4*($B111)^4+'sv13'!$V$4*($B111)^5+'sv13'!$U$4*($B111)^6+'sv13'!$T$4*($B111)^7+'sv13'!$S$4*($B111)^8</f>
        <v>5412.1668439653395</v>
      </c>
      <c r="O111" s="5">
        <f>'sv13'!$AA$5+'sv13'!$Z$5*($B111)+'sv13'!$Y$5*($B111)^2+'sv13'!$X$5*($B111)^3+'sv13'!$W$5*($B111)^4+'sv13'!$V$5*($B111)^5+'sv13'!$U$5*($B111)^6+'sv13'!$T$5*($B111)^7+'sv13'!$S$5*($B111)^8</f>
        <v>21736.107283555455</v>
      </c>
      <c r="P111" s="5">
        <f>'sv13'!$AA$6+'sv13'!$Z$6*$B111+'sv13'!$Y$6*$B111^2+'sv13'!$X$6*$B111^3+'sv13'!$W$6*$B111^4+'sv13'!$V$6*$B111^5+'sv13'!$U$6*$B111^6+'sv13'!$T$6*$B111^7+'sv13'!$S$6*$B111^8</f>
        <v>304.21940577402637</v>
      </c>
      <c r="R111">
        <f>SQRT(($M111*1000-coord!$B$2)^2+($N111*1000-coord!$C$2)^2+($O111*1000-coord!$D$2)^2)/coord!$B$6</f>
        <v>6.7552624900731301E-2</v>
      </c>
      <c r="T111" s="5">
        <f>'sv13'!$AA$3+'sv13'!$Z$3*($B111-$R111/3600)+'sv13'!$Y$3*($B111-$R111/3600)^2+'sv13'!$X$3*($B111-$R111/3600)^3+'sv13'!$W$3*($B111-$R111/3600)^4+'sv13'!$V$3*($B111-$R111/3600)^5+'sv13'!$U$3*($B111-$R111/3600)^6+'sv13'!$T$3*($B111-$R111/3600)^7+'sv13'!$S$3*($B111-$R111/3600)^8+N111*coord!$B$7*R111</f>
        <v>14063.065203245204</v>
      </c>
      <c r="U111" s="5">
        <f>'sv13'!$AA$4+'sv13'!$Z$4*($B111-$R111/3600)+'sv13'!$Y$4*($B111-$R111/3600)^2+'sv13'!$X$4*($B111-$R111/3600)^3+'sv13'!$W$4*($B111-$R111/3600)^4+'sv13'!$V$4*($B111-$R111/3600)^5+'sv13'!$U$4*($B111-$R111/3600)^6+'sv13'!$T$4*($B111-$R111/3600)^7+'sv13'!$S$4*($B111-$R111/3600)^8-M111*coord!$B$7*R111</f>
        <v>5411.9536621414054</v>
      </c>
      <c r="V111" s="5">
        <f>'sv13'!$AA$5+'sv13'!$Z$5*($B111-$R111/3600)+'sv13'!$Y$5*($B111-$R111/3600)^2+'sv13'!$X$5*($B111-$R111/3600)^3+'sv13'!$W$5*($B111-$R111/3600)^4+'sv13'!$V$5*($B111-$R111/3600)^5+'sv13'!$U$5*($B111-$R111/3600)^6+'sv13'!$T$5*($B111-$R111/3600)^7+'sv13'!$S$5*($B111-$R111/3600)^8</f>
        <v>21736.065214665825</v>
      </c>
      <c r="W111">
        <f>coord!$B$6*P111/10^6</f>
        <v>91202.683428294753</v>
      </c>
      <c r="X111">
        <f>SQRT(($T111*1000+coord!$B$7*$R111*$U111*1000-coord!$B$2)^2+($U111*1000-coord!$B$7*$R111*$T111*1000-coord!$C$2)^2+($V111*1000-coord!$D$2)^2)</f>
        <v>20251752.449844223</v>
      </c>
      <c r="Y111" s="3">
        <f>$D111-(X111-$W111)-coord!$E$2</f>
        <v>-0.9513472281396389</v>
      </c>
      <c r="Z111" s="3"/>
      <c r="AB111">
        <f>-(T111*1000-coord!$B$2)/$X111</f>
        <v>-0.47769629104466055</v>
      </c>
      <c r="AC111">
        <f>-(U111*1000-coord!$C$2)/$X111</f>
        <v>-0.22158000696754132</v>
      </c>
      <c r="AD111">
        <f>-(V111*1000-coord!$D$2)/$X111</f>
        <v>-0.85012282186464605</v>
      </c>
      <c r="AE111">
        <v>1</v>
      </c>
      <c r="BD111">
        <f>SQRT(($T111*1000+coord!$B$7*$R111*$U111*1000-coord!$B$2-BA$106)^2+($U111*1000-coord!$B$7*$R111*$T111*1000-coord!$C$2-BA$107)^2+($V111*1000-coord!$D$2-BA$108)^2)</f>
        <v>20251740.852814637</v>
      </c>
      <c r="BE111" s="3">
        <f t="shared" si="61"/>
        <v>1.623427836857644</v>
      </c>
      <c r="BG111" s="1"/>
      <c r="BH111" s="1"/>
      <c r="BI111" s="1"/>
      <c r="CG111" s="1"/>
      <c r="CH111" s="1"/>
      <c r="CI111" s="1"/>
    </row>
    <row r="112" spans="1:111">
      <c r="A112">
        <v>30</v>
      </c>
      <c r="B112">
        <f t="shared" si="41"/>
        <v>0.5</v>
      </c>
      <c r="C112">
        <v>7</v>
      </c>
      <c r="D112">
        <f>tetto!D112*coord!$B$13-tetto!G112*coord!$B$14</f>
        <v>21732078.528877631</v>
      </c>
      <c r="E112" s="5">
        <f>90-DEGREES(ACOS((coord!$B$2*($T112*1000-coord!$B$2)+coord!$C$2*($U112*1000-coord!$C$2)+coord!$D$2*($V112*1000-coord!$D$2))/(SQRT(coord!$B$2^2+coord!$C$2^2+coord!$D$2^2)*SQRT(($T112*1000-coord!$B$2)^2+($U112*1000-coord!$C$2)^2+($V112*1000-coord!$D$2)^2))))</f>
        <v>45.48651305314079</v>
      </c>
      <c r="F112">
        <f>(coord!$C$2*($V112*1000-coord!$D$2)-coord!$D$2*($U112*1000-coord!$C$2))/(SQRT(coord!$B$2^2+coord!$C$2^2+coord!$D$2^2)*SQRT(($T112*1000-coord!$B$2)^2+($U112*1000-coord!$C$2)^2+($V112*1000-coord!$D$2)^2))</f>
        <v>-0.1786813311078024</v>
      </c>
      <c r="G112">
        <f>(-coord!$B$2*($V112*1000-coord!$D$2)+coord!$D$2*($T112*1000-coord!$B$2))/(SQRT(coord!$B$2^2+coord!$C$2^2+coord!$D$2^2)*SQRT(($T112*1000-coord!$B$2)^2+($U112*1000-coord!$C$2)^2+($V112*1000-coord!$D$2)^2))</f>
        <v>0.67701994940702459</v>
      </c>
      <c r="H112">
        <f>(coord!$B$2*($U112*1000-coord!$C$2)-coord!$C$2*($T112*1000-coord!$B$2))/(SQRT(coord!$B$2^2+coord!$C$2^2+coord!$D$2^2)*SQRT(($T112*1000-coord!$B$2)^2+($U112*1000-coord!$C$2)^2+($V112*1000-coord!$D$2)^2))</f>
        <v>3.5016046829868898E-2</v>
      </c>
      <c r="I112">
        <f t="shared" si="57"/>
        <v>4.9712606215006519E-2</v>
      </c>
      <c r="J112">
        <f t="shared" si="58"/>
        <v>0.69931236458336909</v>
      </c>
      <c r="K112">
        <f t="shared" si="59"/>
        <v>1.644422897078314E-4</v>
      </c>
      <c r="L112">
        <f t="shared" si="60"/>
        <v>175.93380700394579</v>
      </c>
      <c r="M112" s="5">
        <f>'sv07'!$AA$3+'sv07'!$Z$3*($B112)+'sv07'!$Y$3*($B112)^2+'sv07'!$X$3*($B112)^3+'sv07'!$W$3*($B112)^4+'sv07'!$V$3*($B112)^5+'sv07'!$U$3*($B112)^6+'sv07'!$T$3*($B112)^7+'sv07'!$S$3*($B112)^8</f>
        <v>25403.005722282782</v>
      </c>
      <c r="N112" s="5">
        <f>'sv07'!$AA$4+'sv07'!$Z$4*($B112)+'sv07'!$Y$4*($B112)^2+'sv07'!$X$4*($B112)^3+'sv07'!$W$4*($B112)^4+'sv07'!$V$4*($B112)^5+'sv07'!$U$4*($B112)^6+'sv07'!$T$4*($B112)^7+'sv07'!$S$4*($B112)^8</f>
        <v>6455.621849692252</v>
      </c>
      <c r="O112" s="5">
        <f>'sv07'!$AA$5+'sv07'!$Z$5*($B112)+'sv07'!$Y$5*($B112)^2+'sv07'!$X$5*($B112)^3+'sv07'!$W$5*($B112)^4+'sv07'!$V$5*($B112)^5+'sv07'!$U$5*($B112)^6+'sv07'!$T$5*($B112)^7+'sv07'!$S$5*($B112)^8</f>
        <v>4814.3245616110553</v>
      </c>
      <c r="P112" s="5">
        <f>'sv07'!$AA$6+'sv07'!$Z$6*$B112+'sv07'!$Y$6*$B112^2+'sv07'!$X$6*$B112^3+'sv07'!$W$6*$B112^4+'sv07'!$V$6*$B112^5+'sv07'!$U$6*$B112^6+'sv07'!$T$6*$B112^7+'sv07'!$S$6*$B112^8</f>
        <v>-0.63788063705644205</v>
      </c>
      <c r="R112">
        <f>SQRT(($M112*1000-coord!$B$2)^2+($N112*1000-coord!$C$2)^2+($O112*1000-coord!$D$2)^2)/coord!$B$6</f>
        <v>7.2489622269318932E-2</v>
      </c>
      <c r="T112" s="5">
        <f>'sv07'!$AA$3+'sv07'!$Z$3*($B112-$R112/3600)+'sv07'!$Y$3*($B112-$R112/3600)^2+'sv07'!$X$3*($B112-$R112/3600)^3+'sv07'!$W$3*($B112-$R112/3600)^4+'sv07'!$V$3*($B112-$R112/3600)^5+'sv07'!$U$3*($B112-$R112/3600)^6+'sv07'!$T$3*($B112-$R112/3600)^7+'sv07'!$S$3*($B112-$R112/3600)^8+N112*coord!$B$7*R112</f>
        <v>25403.085698386894</v>
      </c>
      <c r="U112" s="5">
        <f>'sv07'!$AA$4+'sv07'!$Z$4*($B112-$R112/3600)+'sv07'!$Y$4*($B112-$R112/3600)^2+'sv07'!$X$4*($B112-$R112/3600)^3+'sv07'!$W$4*($B112-$R112/3600)^4+'sv07'!$V$4*($B112-$R112/3600)^5+'sv07'!$U$4*($B112-$R112/3600)^6+'sv07'!$T$4*($B112-$R112/3600)^7+'sv07'!$S$4*($B112-$R112/3600)^8-M112*coord!$B$7*R112</f>
        <v>6455.4766111451045</v>
      </c>
      <c r="V112" s="5">
        <f>'sv07'!$AA$5+'sv07'!$Z$5*($B112-$R112/3600)+'sv07'!$Y$5*($B112-$R112/3600)^2+'sv07'!$X$5*($B112-$R112/3600)^3+'sv07'!$W$5*($B112-$R112/3600)^4+'sv07'!$V$5*($B112-$R112/3600)^5+'sv07'!$U$5*($B112-$R112/3600)^6+'sv07'!$T$5*($B112-$R112/3600)^7+'sv07'!$S$5*($B112-$R112/3600)^8</f>
        <v>4814.0990608302463</v>
      </c>
      <c r="W112">
        <f>coord!$B$6*P112/10^6</f>
        <v>-191.23180409375664</v>
      </c>
      <c r="X112">
        <f>SQRT(($T112*1000+coord!$B$7*$R112*$U112*1000-coord!$B$2)^2+($U112*1000-coord!$B$7*$R112*$T112*1000-coord!$C$2)^2+($V112*1000-coord!$D$2)^2)</f>
        <v>21731878.174526263</v>
      </c>
      <c r="Y112" s="3">
        <f>$D112-(X112-$W112)-coord!$E$2</f>
        <v>9.122547272592783</v>
      </c>
      <c r="Z112" s="3" t="s">
        <v>127</v>
      </c>
      <c r="AA112" s="1" t="s">
        <v>128</v>
      </c>
      <c r="AB112">
        <f>-(T112*1000-coord!$B$2)/$X112</f>
        <v>-0.96697613334770982</v>
      </c>
      <c r="AC112">
        <f>-(U112*1000-coord!$C$2)/$X112</f>
        <v>-0.25450659871765424</v>
      </c>
      <c r="AD112">
        <f>-(V112*1000-coord!$D$2)/$X112</f>
        <v>-1.3552017187150786E-2</v>
      </c>
      <c r="AE112">
        <v>1</v>
      </c>
      <c r="BD112">
        <f>SQRT(($T112*1000+coord!$B$7*$R112*$U112*1000-coord!$B$2-BA$106)^2+($U112*1000-coord!$B$7*$R112*$T112*1000-coord!$C$2-BA$107)^2+($V112*1000-coord!$D$2-BA$108)^2)</f>
        <v>21731883.132556051</v>
      </c>
      <c r="BE112" s="3">
        <f t="shared" si="61"/>
        <v>-4.8577370357886878</v>
      </c>
      <c r="BF112" s="3" t="s">
        <v>127</v>
      </c>
      <c r="BG112" s="1" t="s">
        <v>128</v>
      </c>
      <c r="BH112" s="1"/>
      <c r="BI112" s="1"/>
      <c r="CG112" s="1"/>
      <c r="CH112" s="1"/>
      <c r="CI112" s="1"/>
    </row>
    <row r="113" spans="1:111">
      <c r="Y113" s="3"/>
      <c r="Z113" s="3">
        <f>AVERAGE($Y106:$Y112)</f>
        <v>-5.2422356121242046</v>
      </c>
      <c r="AA113" s="1">
        <f>SQRT(DEVSQ($Y106:$Y112)/6)</f>
        <v>39.284658983420918</v>
      </c>
      <c r="BE113" s="3"/>
      <c r="BF113" s="3">
        <f>AVERAGE($BE106:$BE112)</f>
        <v>1.4573691669690042E-4</v>
      </c>
      <c r="BG113" s="1">
        <f>SQRT(DEVSQ($BE106:$BE112)/6)</f>
        <v>3.981028316759462</v>
      </c>
      <c r="BH113" s="1"/>
      <c r="BI113" s="1"/>
      <c r="CG113" s="1"/>
      <c r="CH113" s="1"/>
      <c r="CI113" s="1"/>
    </row>
    <row r="114" spans="1:111">
      <c r="A114">
        <v>32</v>
      </c>
      <c r="B114">
        <f t="shared" si="41"/>
        <v>0.51666666666666661</v>
      </c>
      <c r="C114">
        <v>2</v>
      </c>
      <c r="D114">
        <f>tetto!D114*coord!$B$13-tetto!G114*coord!$B$14</f>
        <v>22499216.827673256</v>
      </c>
      <c r="E114" s="5">
        <f>90-DEGREES(ACOS((coord!$B$2*($T114*1000-coord!$B$2)+coord!$C$2*($U114*1000-coord!$C$2)+coord!$D$2*($V114*1000-coord!$D$2))/(SQRT(coord!$B$2^2+coord!$C$2^2+coord!$D$2^2)*SQRT(($T114*1000-coord!$B$2)^2+($U114*1000-coord!$C$2)^2+($V114*1000-coord!$D$2)^2))))</f>
        <v>31.609116898342656</v>
      </c>
      <c r="F114">
        <f>(coord!$C$2*($V114*1000-coord!$D$2)-coord!$D$2*($U114*1000-coord!$C$2))/(SQRT(coord!$B$2^2+coord!$C$2^2+coord!$D$2^2)*SQRT(($T114*1000-coord!$B$2)^2+($U114*1000-coord!$C$2)^2+($V114*1000-coord!$D$2)^2))</f>
        <v>0.58509639280254466</v>
      </c>
      <c r="G114">
        <f>(-coord!$B$2*($V114*1000-coord!$D$2)+coord!$D$2*($T114*1000-coord!$B$2))/(SQRT(coord!$B$2^2+coord!$C$2^2+coord!$D$2^2)*SQRT(($T114*1000-coord!$B$2)^2+($U114*1000-coord!$C$2)^2+($V114*1000-coord!$D$2)^2))</f>
        <v>-0.37645281338877595</v>
      </c>
      <c r="H114">
        <f>(coord!$B$2*($U114*1000-coord!$C$2)-coord!$C$2*($T114*1000-coord!$B$2))/(SQRT(coord!$B$2^2+coord!$C$2^2+coord!$D$2^2)*SQRT(($T114*1000-coord!$B$2)^2+($U114*1000-coord!$C$2)^2+($V114*1000-coord!$D$2)^2))</f>
        <v>-0.49116414892773069</v>
      </c>
      <c r="I114">
        <f t="shared" ref="I114:I120" si="62">$F114*$CA$2+$G114*$CB$2+$H114*$CC$2</f>
        <v>-0.69727620411802316</v>
      </c>
      <c r="J114">
        <f t="shared" ref="J114:J120" si="63">$F114*$CA$3+$G114*$CB$3+$H114*$CC$3</f>
        <v>-0.48897561224017838</v>
      </c>
      <c r="K114">
        <f t="shared" ref="K114:K120" si="64">$F114*$CA$4+$G114*$CB$4+$H114*$CC$4</f>
        <v>-2.3402085120773908E-3</v>
      </c>
      <c r="L114">
        <f t="shared" ref="L114:L120" si="65">90+DEGREES(ATAN2(I114,J114))</f>
        <v>-54.959353131869818</v>
      </c>
      <c r="M114" s="5">
        <f>'sv02'!$AA$3+'sv02'!$Z$3*($B114)+'sv02'!$Y$3*($B114)^2+'sv02'!$X$3*($B114)^3+'sv02'!$W$3*($B114)^4+'sv02'!$V$3*($B114)^5+'sv02'!$U$3*($B114)^6+'sv02'!$T$3*($B114)^7+'sv02'!$S$3*($B114)^8</f>
        <v>8122.7445135465241</v>
      </c>
      <c r="N114" s="5">
        <f>'sv02'!$AA$4+'sv02'!$Z$4*($B114)+'sv02'!$Y$4*($B114)^2+'sv02'!$X$4*($B114)^3+'sv02'!$W$4*($B114)^4+'sv02'!$V$4*($B114)^5+'sv02'!$U$4*($B114)^6+'sv02'!$T$4*($B114)^7+'sv02'!$S$4*($B114)^8</f>
        <v>-14376.444124832906</v>
      </c>
      <c r="O114" s="5">
        <f>'sv02'!$AA$5+'sv02'!$Z$5*($B114)+'sv02'!$Y$5*($B114)^2+'sv02'!$X$5*($B114)^3+'sv02'!$W$5*($B114)^4+'sv02'!$V$5*($B114)^5+'sv02'!$U$5*($B114)^6+'sv02'!$T$5*($B114)^7+'sv02'!$S$5*($B114)^8</f>
        <v>20694.663255414231</v>
      </c>
      <c r="P114" s="5">
        <f>'sv02'!$AA$6+'sv02'!$Z$6*$B114+'sv02'!$Y$6*$B114^2+'sv02'!$X$6*$B114^3+'sv02'!$W$6*$B114^4+'sv02'!$V$6*$B114^5+'sv02'!$U$6*$B114^6+'sv02'!$T$6*$B114^7+'sv02'!$S$6*$B114^8</f>
        <v>257.59288379872049</v>
      </c>
      <c r="R114">
        <f>SQRT(($M114*1000-coord!$B$2)^2+($N114*1000-coord!$C$2)^2+($O114*1000-coord!$D$2)^2)/coord!$B$6</f>
        <v>7.5306912973658074E-2</v>
      </c>
      <c r="T114" s="5">
        <f>'sv02'!$AA$3+'sv02'!$Z$3*($B114-$R114/3600)+'sv02'!$Y$3*($B114-$R114/3600)^2+'sv02'!$X$3*($B114-$R114/3600)^3+'sv02'!$W$3*($B114-$R114/3600)^4+'sv02'!$V$3*($B114-$R114/3600)^5+'sv02'!$U$3*($B114-$R114/3600)^6+'sv02'!$T$3*($B114-$R114/3600)^7+'sv02'!$S$3*($B114-$R114/3600)^8+N114*coord!$B$7*R114</f>
        <v>8122.4677837864347</v>
      </c>
      <c r="U114" s="5">
        <f>'sv02'!$AA$4+'sv02'!$Z$4*($B114-$R114/3600)+'sv02'!$Y$4*($B114-$R114/3600)^2+'sv02'!$X$4*($B114-$R114/3600)^3+'sv02'!$W$4*($B114-$R114/3600)^4+'sv02'!$V$4*($B114-$R114/3600)^5+'sv02'!$U$4*($B114-$R114/3600)^6+'sv02'!$T$4*($B114-$R114/3600)^7+'sv02'!$S$4*($B114-$R114/3600)^8-M114*coord!$B$7*R114</f>
        <v>-14376.516904063006</v>
      </c>
      <c r="V114" s="5">
        <f>'sv02'!$AA$5+'sv02'!$Z$5*($B114-$R114/3600)+'sv02'!$Y$5*($B114-$R114/3600)^2+'sv02'!$X$5*($B114-$R114/3600)^3+'sv02'!$W$5*($B114-$R114/3600)^4+'sv02'!$V$5*($B114-$R114/3600)^5+'sv02'!$U$5*($B114-$R114/3600)^6+'sv02'!$T$5*($B114-$R114/3600)^7+'sv02'!$S$5*($B114-$R114/3600)^8</f>
        <v>20694.72468298929</v>
      </c>
      <c r="W114">
        <f>coord!$B$6*P114/10^6</f>
        <v>77224.403797326799</v>
      </c>
      <c r="X114">
        <f>SQRT(($T114*1000+coord!$B$7*$R114*$U114*1000-coord!$B$2)^2+($U114*1000-coord!$B$7*$R114*$T114*1000-coord!$C$2)^2+($V114*1000-coord!$D$2)^2)</f>
        <v>22576509.28915948</v>
      </c>
      <c r="Y114" s="3">
        <f>$D114-(X114-$W114)-coord!$E$2</f>
        <v>-68.057688895612955</v>
      </c>
      <c r="Z114" s="3"/>
      <c r="AB114">
        <f>-(T114*1000-coord!$B$2)/$X114</f>
        <v>-0.16537497294939146</v>
      </c>
      <c r="AC114">
        <f>-(U114*1000-coord!$C$2)/$X114</f>
        <v>0.67774370790838334</v>
      </c>
      <c r="AD114">
        <f>-(V114*1000-coord!$D$2)/$X114</f>
        <v>-0.71645869613935742</v>
      </c>
      <c r="AE114">
        <v>1</v>
      </c>
      <c r="AG114">
        <f t="array" ref="AG114:AM117">TRANSPOSE(AB114:AE120)</f>
        <v>-0.16537497294939146</v>
      </c>
      <c r="AH114">
        <v>-0.17592061069979884</v>
      </c>
      <c r="AI114">
        <v>-0.16602965608846385</v>
      </c>
      <c r="AJ114">
        <v>-0.83914588311964333</v>
      </c>
      <c r="AK114">
        <v>-0.42178267112087348</v>
      </c>
      <c r="AL114">
        <v>-0.47218484439664504</v>
      </c>
      <c r="AM114">
        <v>-0.96660897103650156</v>
      </c>
      <c r="AO114">
        <f t="array" ref="AO114:AR117">MMULT(AG114:AM117,AB114:AE120)</f>
        <v>2.1252206546284889</v>
      </c>
      <c r="AP114">
        <v>0.29409082469621228</v>
      </c>
      <c r="AQ114">
        <v>1.1255821137113786</v>
      </c>
      <c r="AR114">
        <v>-3.2070476094113172</v>
      </c>
      <c r="AT114">
        <f t="array" ref="AT114:AW117">MINVERSE(AO114:AR117)</f>
        <v>2.5859536018204317</v>
      </c>
      <c r="AU114">
        <v>0.13379873734412687</v>
      </c>
      <c r="AV114">
        <v>1.6257416584346949</v>
      </c>
      <c r="AW114">
        <v>1.9846842002219232</v>
      </c>
      <c r="AY114">
        <f t="array" ref="AY114:AY117">MMULT(AG114:AM117,Y114:Y120)</f>
        <v>-8.0149394586805798</v>
      </c>
      <c r="BA114">
        <f t="array" ref="BA114:BA117">MMULT(AT114:AW117,AY114:AY117)</f>
        <v>2.2347871927486125</v>
      </c>
      <c r="BD114">
        <f>SQRT(($T114*1000+coord!$B$7*$R114*$U114*1000-coord!$B$2-BA$114)^2+($U114*1000-coord!$B$7*$R114*$T114*1000-coord!$C$2-BA$115)^2+($V114*1000-coord!$D$2-BA$116)^2)</f>
        <v>22576437.210087448</v>
      </c>
      <c r="BE114" s="3">
        <f>$D114-(BD114-$W114)-BA$117</f>
        <v>-4.9000349093352469</v>
      </c>
      <c r="BG114" s="1">
        <f>coord!$B$2+$BA114</f>
        <v>4388880.4055871936</v>
      </c>
      <c r="BH114" s="1">
        <f>coord!$C$2+$BA115</f>
        <v>924498.96846163669</v>
      </c>
      <c r="BI114" s="1">
        <f>coord!$D$2+$BA116</f>
        <v>4519620.9680328416</v>
      </c>
      <c r="BJ114" s="1">
        <f>coord!$E$2+$BA117</f>
        <v>8.9214180458460959</v>
      </c>
      <c r="BK114" s="8">
        <f>lat($BG114,$BH114,$BI114)</f>
        <v>45.411457872260087</v>
      </c>
      <c r="BL114" s="8">
        <f>lon($BG114,$BH114,$BI114)</f>
        <v>11.895210082771788</v>
      </c>
      <c r="BM114" s="6">
        <f>h($BG114,$BH114,$BI114)</f>
        <v>76.630131005309522</v>
      </c>
      <c r="BO114">
        <f>grado($BK114)</f>
        <v>45</v>
      </c>
      <c r="BP114">
        <f>MINUTOprimo($BK114)</f>
        <v>24</v>
      </c>
      <c r="BQ114">
        <f>MINUTOsecondo($BK114)</f>
        <v>41.248340136312436</v>
      </c>
      <c r="BR114">
        <f>grado($BL114)</f>
        <v>11</v>
      </c>
      <c r="BS114">
        <f>MINUTOprimo($BL114)</f>
        <v>53</v>
      </c>
      <c r="BT114">
        <f>MINUTOsecondo($BL114)</f>
        <v>42.756297978437345</v>
      </c>
      <c r="BV114">
        <f>-SIN(RADIANS(BK114))*COS(RADIANS(BL114))</f>
        <v>-0.69687354125948953</v>
      </c>
      <c r="BW114">
        <f>-SIN(RADIANS(BL114))</f>
        <v>-0.20612238149473866</v>
      </c>
      <c r="BX114">
        <f>COS(RADIANS(BK114))*COS(RADIANS(BL114))</f>
        <v>0.68693582767198547</v>
      </c>
      <c r="BZ114" t="s">
        <v>93</v>
      </c>
      <c r="CA114">
        <f t="array" ref="CA114:CC116">MINVERSE(BV114:BX116)</f>
        <v>-0.69687354125948975</v>
      </c>
      <c r="CB114">
        <v>-0.14679344400052435</v>
      </c>
      <c r="CC114">
        <v>0.70201064969907923</v>
      </c>
      <c r="CD114">
        <v>0</v>
      </c>
      <c r="CE114" s="1">
        <f t="array" ref="CE114:CE116">MMULT(CA114:CC116,BA114:BA116)</f>
        <v>31.852245079929787</v>
      </c>
      <c r="CG114" s="1">
        <f t="array" ref="CG114:CI114">TRANSPOSE(CE114:CE116)</f>
        <v>31.852245079929787</v>
      </c>
      <c r="CH114" s="1">
        <v>-70.175484206424571</v>
      </c>
      <c r="CI114" s="1">
        <v>14.509413674444536</v>
      </c>
      <c r="CK114">
        <f t="array" ref="CK114:CN117">MMULT(CA114:CD117,AT114:AW117)</f>
        <v>-0.68043546361040352</v>
      </c>
      <c r="CL114">
        <v>0.1344843835685382</v>
      </c>
      <c r="CM114">
        <v>0.62554270546968582</v>
      </c>
      <c r="CN114">
        <v>-1.7310800809520188E-3</v>
      </c>
      <c r="CP114">
        <f t="array" ref="CP114:CS117">TRANSPOSE(CA114:CD117)</f>
        <v>-0.69687354125948975</v>
      </c>
      <c r="CQ114">
        <v>-0.20612238149473872</v>
      </c>
      <c r="CR114">
        <v>0.68693582767198569</v>
      </c>
      <c r="CS114">
        <v>0</v>
      </c>
      <c r="CU114" s="5">
        <f t="array" ref="CU114:CX117">MMULT(CK114:CN117,CP114:CS117)</f>
        <v>0.89357368637770529</v>
      </c>
      <c r="CV114" s="5">
        <v>0.27184947375777196</v>
      </c>
      <c r="CW114" s="5">
        <v>-2.465067915835617E-3</v>
      </c>
      <c r="CX114" s="5">
        <v>-1.7310800809520188E-3</v>
      </c>
      <c r="CZ114" s="3">
        <f>SQRT(CU114+CV115)</f>
        <v>1.1918736568811878</v>
      </c>
      <c r="DA114" s="3">
        <f>CW116</f>
        <v>4.251650229193106</v>
      </c>
      <c r="DB114" s="3">
        <f>CX117</f>
        <v>2.0526424392929141</v>
      </c>
      <c r="DC114" s="3">
        <f>BG121</f>
        <v>3.7320056211941175</v>
      </c>
      <c r="DD114">
        <v>6</v>
      </c>
      <c r="DE114" s="6">
        <f>DB114*DD114*DC114</f>
        <v>45.962838730456568</v>
      </c>
      <c r="DF114">
        <v>5.33</v>
      </c>
      <c r="DG114" s="6">
        <f>DC114*DF114*SQRT(0.5*(CU114+CV115)+SQRT((0.5*(CU114-CV115))^2+CV114^2))</f>
        <v>20.267476315298577</v>
      </c>
    </row>
    <row r="115" spans="1:111">
      <c r="A115">
        <v>32</v>
      </c>
      <c r="B115">
        <f t="shared" si="41"/>
        <v>0.51666666666666661</v>
      </c>
      <c r="C115">
        <v>23</v>
      </c>
      <c r="D115">
        <f>tetto!D115*coord!$B$13-tetto!G115*coord!$B$14</f>
        <v>21193920.811537568</v>
      </c>
      <c r="E115" s="5">
        <f>90-DEGREES(ACOS((coord!$B$2*($T115*1000-coord!$B$2)+coord!$C$2*($U115*1000-coord!$C$2)+coord!$D$2*($V115*1000-coord!$D$2))/(SQRT(coord!$B$2^2+coord!$C$2^2+coord!$D$2^2)*SQRT(($T115*1000-coord!$B$2)^2+($U115*1000-coord!$C$2)^2+($V115*1000-coord!$D$2)^2))))</f>
        <v>49.956412017986807</v>
      </c>
      <c r="F115">
        <f>(coord!$C$2*($V115*1000-coord!$D$2)-coord!$D$2*($U115*1000-coord!$C$2))/(SQRT(coord!$B$2^2+coord!$C$2^2+coord!$D$2^2)*SQRT(($T115*1000-coord!$B$2)^2+($U115*1000-coord!$C$2)^2+($V115*1000-coord!$D$2)^2))</f>
        <v>-0.30583937974223313</v>
      </c>
      <c r="G115">
        <f>(-coord!$B$2*($V115*1000-coord!$D$2)+coord!$D$2*($T115*1000-coord!$B$2))/(SQRT(coord!$B$2^2+coord!$C$2^2+coord!$D$2^2)*SQRT(($T115*1000-coord!$B$2)^2+($U115*1000-coord!$C$2)^2+($V115*1000-coord!$D$2)^2))</f>
        <v>-0.41734858248691364</v>
      </c>
      <c r="H115">
        <f>(coord!$B$2*($U115*1000-coord!$C$2)-coord!$C$2*($T115*1000-coord!$B$2))/(SQRT(coord!$B$2^2+coord!$C$2^2+coord!$D$2^2)*SQRT(($T115*1000-coord!$B$2)^2+($U115*1000-coord!$C$2)^2+($V115*1000-coord!$D$2)^2))</f>
        <v>0.3823710790731269</v>
      </c>
      <c r="I115">
        <f t="shared" si="62"/>
        <v>0.54282657003352131</v>
      </c>
      <c r="J115">
        <f t="shared" si="63"/>
        <v>-0.34534214019582338</v>
      </c>
      <c r="K115">
        <f t="shared" si="64"/>
        <v>1.8244689935286162E-3</v>
      </c>
      <c r="L115">
        <f t="shared" si="65"/>
        <v>57.535791323448223</v>
      </c>
      <c r="M115" s="5">
        <f>'sv23'!$AA$3+'sv23'!$Z$3*($B115)+'sv23'!$Y$3*($B115)^2+'sv23'!$X$3*($B115)^3+'sv23'!$W$3*($B115)^4+'sv23'!$V$3*($B115)^5+'sv23'!$U$3*($B115)^6+'sv23'!$T$3*($B115)^7+'sv23'!$S$3*($B115)^8</f>
        <v>8136.6476931949337</v>
      </c>
      <c r="N115" s="5">
        <f>'sv23'!$AA$4+'sv23'!$Z$4*($B115)+'sv23'!$Y$4*($B115)^2+'sv23'!$X$4*($B115)^3+'sv23'!$W$4*($B115)^4+'sv23'!$V$4*($B115)^5+'sv23'!$U$4*($B115)^6+'sv23'!$T$4*($B115)^7+'sv23'!$S$4*($B115)^8</f>
        <v>13533.078498621946</v>
      </c>
      <c r="O115" s="5">
        <f>'sv23'!$AA$5+'sv23'!$Z$5*($B115)+'sv23'!$Y$5*($B115)^2+'sv23'!$X$5*($B115)^3+'sv23'!$W$5*($B115)^4+'sv23'!$V$5*($B115)^5+'sv23'!$U$5*($B115)^6+'sv23'!$T$5*($B115)^7+'sv23'!$S$5*($B115)^8</f>
        <v>21279.005704042047</v>
      </c>
      <c r="P115" s="5">
        <f>'sv23'!$AA$6+'sv23'!$Z$6*$B115+'sv23'!$Y$6*$B115^2+'sv23'!$X$6*$B115^3+'sv23'!$W$6*$B115^4+'sv23'!$V$6*$B115^5+'sv23'!$U$6*$B115^6+'sv23'!$T$6*$B115^7+'sv23'!$S$6*$B115^8</f>
        <v>370.05626185853225</v>
      </c>
      <c r="R115">
        <f>SQRT(($M115*1000-coord!$B$2)^2+($N115*1000-coord!$C$2)^2+($O115*1000-coord!$D$2)^2)/coord!$B$6</f>
        <v>7.1065462954669867E-2</v>
      </c>
      <c r="T115" s="5">
        <f>'sv23'!$AA$3+'sv23'!$Z$3*($B115-$R115/3600)+'sv23'!$Y$3*($B115-$R115/3600)^2+'sv23'!$X$3*($B115-$R115/3600)^3+'sv23'!$W$3*($B115-$R115/3600)^4+'sv23'!$V$3*($B115-$R115/3600)^5+'sv23'!$U$3*($B115-$R115/3600)^6+'sv23'!$T$3*($B115-$R115/3600)^7+'sv23'!$S$3*($B115-$R115/3600)^8+N115*coord!$B$7*R115</f>
        <v>8136.8381861167609</v>
      </c>
      <c r="U115" s="5">
        <f>'sv23'!$AA$4+'sv23'!$Z$4*($B115-$R115/3600)+'sv23'!$Y$4*($B115-$R115/3600)^2+'sv23'!$X$4*($B115-$R115/3600)^3+'sv23'!$W$4*($B115-$R115/3600)^4+'sv23'!$V$4*($B115-$R115/3600)^5+'sv23'!$U$4*($B115-$R115/3600)^6+'sv23'!$T$4*($B115-$R115/3600)^7+'sv23'!$S$4*($B115-$R115/3600)^8-M115*coord!$B$7*R115</f>
        <v>13532.885722705236</v>
      </c>
      <c r="V115" s="5">
        <f>'sv23'!$AA$5+'sv23'!$Z$5*($B115-$R115/3600)+'sv23'!$Y$5*($B115-$R115/3600)^2+'sv23'!$X$5*($B115-$R115/3600)^3+'sv23'!$W$5*($B115-$R115/3600)^4+'sv23'!$V$5*($B115-$R115/3600)^5+'sv23'!$U$5*($B115-$R115/3600)^6+'sv23'!$T$5*($B115-$R115/3600)^7+'sv23'!$S$5*($B115-$R115/3600)^8</f>
        <v>21279.057602777582</v>
      </c>
      <c r="W115">
        <f>coord!$B$6*P115/10^6</f>
        <v>110940.07634086104</v>
      </c>
      <c r="X115">
        <f>SQRT(($T115*1000+coord!$B$7*$R115*$U115*1000-coord!$B$2)^2+($U115*1000-coord!$B$7*$R115*$T115*1000-coord!$C$2)^2+($V115*1000-coord!$D$2)^2)</f>
        <v>21304837.451437097</v>
      </c>
      <c r="Y115" s="3">
        <f>$D115-(X115-$W115)-coord!$E$2</f>
        <v>23.436441332101822</v>
      </c>
      <c r="Z115" s="3"/>
      <c r="AB115">
        <f>-(T115*1000-coord!$B$2)/$X115</f>
        <v>-0.17592061069979884</v>
      </c>
      <c r="AC115">
        <f>-(U115*1000-coord!$C$2)/$X115</f>
        <v>-0.59180529014807171</v>
      </c>
      <c r="AD115">
        <f>-(V115*1000-coord!$D$2)/$X115</f>
        <v>-0.78665088934283744</v>
      </c>
      <c r="AE115">
        <v>1</v>
      </c>
      <c r="AG115">
        <v>0.67774370790838334</v>
      </c>
      <c r="AH115">
        <v>-0.59180529014807171</v>
      </c>
      <c r="AI115">
        <v>0.74644015253934981</v>
      </c>
      <c r="AJ115">
        <v>0.37032262559232554</v>
      </c>
      <c r="AK115">
        <v>-0.90665034878231898</v>
      </c>
      <c r="AL115">
        <v>-0.22780745216222104</v>
      </c>
      <c r="AM115">
        <v>-0.25529578937203506</v>
      </c>
      <c r="AO115">
        <v>0.29409082469621228</v>
      </c>
      <c r="AP115">
        <v>2.4429688136840424</v>
      </c>
      <c r="AQ115">
        <v>-0.44049522535386437</v>
      </c>
      <c r="AR115">
        <v>-0.18705239442458821</v>
      </c>
      <c r="AT115">
        <v>0.13379873734412692</v>
      </c>
      <c r="AU115">
        <v>0.49199778935812444</v>
      </c>
      <c r="AV115">
        <v>0.42726877939342639</v>
      </c>
      <c r="AW115">
        <v>0.28374071184667005</v>
      </c>
      <c r="AY115">
        <v>-189.46164937530514</v>
      </c>
      <c r="BA115">
        <v>-71.24473836334279</v>
      </c>
      <c r="BD115">
        <f>SQRT(($T115*1000+coord!$B$7*$R115*$U115*1000-coord!$B$2-BA$114)^2+($U115*1000-coord!$B$7*$R115*$T115*1000-coord!$C$2-BA$115)^2+($V115*1000-coord!$D$2-BA$116)^2)</f>
        <v>21304853.502740923</v>
      </c>
      <c r="BE115" s="3">
        <f t="shared" ref="BE115:BE120" si="66">$D115-(BD115-$W115)-BA$117</f>
        <v>-1.5362805400167616</v>
      </c>
      <c r="BG115" s="1"/>
      <c r="BH115" s="1"/>
      <c r="BI115" s="1"/>
      <c r="BV115">
        <f>-SIN(RADIANS(BK114))*SIN(RADIANS(BL114))</f>
        <v>-0.14679344400052433</v>
      </c>
      <c r="BW115">
        <f>COS(RADIANS(BL114))</f>
        <v>0.97852622031652137</v>
      </c>
      <c r="BX115">
        <f>COS(RADIANS(BK114))*SIN(RADIANS(BL114))</f>
        <v>0.14470010695064295</v>
      </c>
      <c r="BZ115" t="s">
        <v>94</v>
      </c>
      <c r="CA115">
        <v>-0.20612238149473872</v>
      </c>
      <c r="CB115">
        <v>0.97852622031652148</v>
      </c>
      <c r="CC115">
        <v>-5.6729344680515333E-17</v>
      </c>
      <c r="CD115">
        <v>0</v>
      </c>
      <c r="CE115" s="1">
        <v>-70.175484206424571</v>
      </c>
      <c r="CG115" s="1"/>
      <c r="CH115" s="1"/>
      <c r="CI115" s="1"/>
      <c r="CK115">
        <v>-0.40209734210565329</v>
      </c>
      <c r="CL115">
        <v>0.45385382284232911</v>
      </c>
      <c r="CM115">
        <v>8.2991961427337627E-2</v>
      </c>
      <c r="CN115">
        <v>-0.13144010755148244</v>
      </c>
      <c r="CP115">
        <v>-0.14679344400052435</v>
      </c>
      <c r="CQ115">
        <v>0.97852622031652148</v>
      </c>
      <c r="CR115">
        <v>0.14470010695064298</v>
      </c>
      <c r="CS115">
        <v>0</v>
      </c>
      <c r="CU115" s="5">
        <v>0.27184947375777202</v>
      </c>
      <c r="CV115" s="5">
        <v>0.52698912758963035</v>
      </c>
      <c r="CW115" s="5">
        <v>-0.15143828353004574</v>
      </c>
      <c r="CX115" s="5">
        <v>-0.13144010755148244</v>
      </c>
    </row>
    <row r="116" spans="1:111">
      <c r="A116">
        <v>32</v>
      </c>
      <c r="B116">
        <f t="shared" si="41"/>
        <v>0.51666666666666661</v>
      </c>
      <c r="C116">
        <v>10</v>
      </c>
      <c r="D116">
        <f>tetto!D116*coord!$B$13-tetto!G116*coord!$B$14</f>
        <v>22788103.645030059</v>
      </c>
      <c r="E116" s="5">
        <f>90-DEGREES(ACOS((coord!$B$2*($T116*1000-coord!$B$2)+coord!$C$2*($U116*1000-coord!$C$2)+coord!$D$2*($V116*1000-coord!$D$2))/(SQRT(coord!$B$2^2+coord!$C$2^2+coord!$D$2^2)*SQRT(($T116*1000-coord!$B$2)^2+($U116*1000-coord!$C$2)^2+($V116*1000-coord!$D$2)^2))))</f>
        <v>27.610268436054433</v>
      </c>
      <c r="F116">
        <f>(coord!$C$2*($V116*1000-coord!$D$2)-coord!$D$2*($U116*1000-coord!$C$2))/(SQRT(coord!$B$2^2+coord!$C$2^2+coord!$D$2^2)*SQRT(($T116*1000-coord!$B$2)^2+($U116*1000-coord!$C$2)^2+($V116*1000-coord!$D$2)^2))</f>
        <v>0.62339503387469208</v>
      </c>
      <c r="G116">
        <f>(-coord!$B$2*($V116*1000-coord!$D$2)+coord!$D$2*($T116*1000-coord!$B$2))/(SQRT(coord!$B$2^2+coord!$C$2^2+coord!$D$2^2)*SQRT(($T116*1000-coord!$B$2)^2+($U116*1000-coord!$C$2)^2+($V116*1000-coord!$D$2)^2))</f>
        <v>-0.32632436022608802</v>
      </c>
      <c r="H116">
        <f>(coord!$B$2*($U116*1000-coord!$C$2)-coord!$C$2*($T116*1000-coord!$B$2))/(SQRT(coord!$B$2^2+coord!$C$2^2+coord!$D$2^2)*SQRT(($T116*1000-coord!$B$2)^2+($U116*1000-coord!$C$2)^2+($V116*1000-coord!$D$2)^2))</f>
        <v>-0.53860991862764374</v>
      </c>
      <c r="I116">
        <f t="shared" si="62"/>
        <v>-0.76463178671121379</v>
      </c>
      <c r="J116">
        <f t="shared" si="63"/>
        <v>-0.44781831601343036</v>
      </c>
      <c r="K116">
        <f t="shared" si="64"/>
        <v>-2.5665880821786891E-3</v>
      </c>
      <c r="L116">
        <f t="shared" si="65"/>
        <v>-59.643973716947016</v>
      </c>
      <c r="M116" s="5">
        <f>'sv10'!$AA$3+'sv10'!$Z$3*($B116)+'sv10'!$Y$3*($B116)^2+'sv10'!$X$3*($B116)^3+'sv10'!$W$3*($B116)^4+'sv10'!$V$3*($B116)^5+'sv10'!$U$3*($B116)^6+'sv10'!$T$3*($B116)^7+'sv10'!$S$3*($B116)^8</f>
        <v>8170.4207426318735</v>
      </c>
      <c r="N116" s="5">
        <f>'sv10'!$AA$4+'sv10'!$Z$4*($B116)+'sv10'!$Y$4*($B116)^2+'sv10'!$X$4*($B116)^3+'sv10'!$W$4*($B116)^4+'sv10'!$V$4*($B116)^5+'sv10'!$U$4*($B116)^6+'sv10'!$T$4*($B116)^7+'sv10'!$S$4*($B116)^8</f>
        <v>-16075.593216913609</v>
      </c>
      <c r="O116" s="5">
        <f>'sv10'!$AA$5+'sv10'!$Z$5*($B116)+'sv10'!$Y$5*($B116)^2+'sv10'!$X$5*($B116)^3+'sv10'!$W$5*($B116)^4+'sv10'!$V$5*($B116)^5+'sv10'!$U$5*($B116)^6+'sv10'!$T$5*($B116)^7+'sv10'!$S$5*($B116)^8</f>
        <v>19196.229974696373</v>
      </c>
      <c r="P116" s="5">
        <f>'sv10'!$AA$6+'sv10'!$Z$6*$B116+'sv10'!$Y$6*$B116^2+'sv10'!$X$6*$B116^3+'sv10'!$W$6*$B116^4+'sv10'!$V$6*$B116^5+'sv10'!$U$6*$B116^6+'sv10'!$T$6*$B116^7+'sv10'!$S$6*$B116^8</f>
        <v>-43.001655879180603</v>
      </c>
      <c r="R116">
        <f>SQRT(($M116*1000-coord!$B$2)^2+($N116*1000-coord!$C$2)^2+($O116*1000-coord!$D$2)^2)/coord!$B$6</f>
        <v>7.5969867652827178E-2</v>
      </c>
      <c r="T116" s="5">
        <f>'sv10'!$AA$3+'sv10'!$Z$3*($B116-$R116/3600)+'sv10'!$Y$3*($B116-$R116/3600)^2+'sv10'!$X$3*($B116-$R116/3600)^3+'sv10'!$W$3*($B116-$R116/3600)^4+'sv10'!$V$3*($B116-$R116/3600)^5+'sv10'!$U$3*($B116-$R116/3600)^6+'sv10'!$T$3*($B116-$R116/3600)^7+'sv10'!$S$3*($B116-$R116/3600)^8+N116*coord!$B$7*R116</f>
        <v>8170.2491779434695</v>
      </c>
      <c r="U116" s="5">
        <f>'sv10'!$AA$4+'sv10'!$Z$4*($B116-$R116/3600)+'sv10'!$Y$4*($B116-$R116/3600)^2+'sv10'!$X$4*($B116-$R116/3600)^3+'sv10'!$W$4*($B116-$R116/3600)^4+'sv10'!$V$4*($B116-$R116/3600)^5+'sv10'!$U$4*($B116-$R116/3600)^6+'sv10'!$T$4*($B116-$R116/3600)^7+'sv10'!$S$4*($B116-$R116/3600)^8-M116*coord!$B$7*R116</f>
        <v>-16075.809224291135</v>
      </c>
      <c r="V116" s="5">
        <f>'sv10'!$AA$5+'sv10'!$Z$5*($B116-$R116/3600)+'sv10'!$Y$5*($B116-$R116/3600)^2+'sv10'!$X$5*($B116-$R116/3600)^3+'sv10'!$W$5*($B116-$R116/3600)^4+'sv10'!$V$5*($B116-$R116/3600)^5+'sv10'!$U$5*($B116-$R116/3600)^6+'sv10'!$T$5*($B116-$R116/3600)^7+'sv10'!$S$5*($B116-$R116/3600)^8</f>
        <v>19196.120542351153</v>
      </c>
      <c r="W116">
        <f>coord!$B$6*P116/10^6</f>
        <v>-12891.572114089704</v>
      </c>
      <c r="X116">
        <f>SQRT(($T116*1000+coord!$B$7*$R116*$U116*1000-coord!$B$2)^2+($U116*1000-coord!$B$7*$R116*$T116*1000-coord!$C$2)^2+($V116*1000-coord!$D$2)^2)</f>
        <v>22775274.587864473</v>
      </c>
      <c r="Y116" s="3">
        <f>$D116-(X116-$W116)-coord!$E$2</f>
        <v>-62.514948505908251</v>
      </c>
      <c r="Z116" s="3"/>
      <c r="AB116">
        <f>-(T116*1000-coord!$B$2)/$X116</f>
        <v>-0.16602965608846385</v>
      </c>
      <c r="AC116">
        <f>-(U116*1000-coord!$C$2)/$X116</f>
        <v>0.74644015253934981</v>
      </c>
      <c r="AD116">
        <f>-(V116*1000-coord!$D$2)/$X116</f>
        <v>-0.64440638076308265</v>
      </c>
      <c r="AE116">
        <v>1</v>
      </c>
      <c r="AG116">
        <v>-0.71645869613935742</v>
      </c>
      <c r="AH116">
        <v>-0.78665088934283744</v>
      </c>
      <c r="AI116">
        <v>-0.64440638076308265</v>
      </c>
      <c r="AJ116">
        <v>-0.39836437049592682</v>
      </c>
      <c r="AK116">
        <v>-9.2881339003568868E-3</v>
      </c>
      <c r="AL116">
        <v>-0.85155476127925667</v>
      </c>
      <c r="AM116">
        <v>-2.216455087900766E-2</v>
      </c>
      <c r="AO116">
        <v>1.1255821137113786</v>
      </c>
      <c r="AP116">
        <v>-0.44049522535386437</v>
      </c>
      <c r="AQ116">
        <v>2.4318094884307673</v>
      </c>
      <c r="AR116">
        <v>-3.4288877827998259</v>
      </c>
      <c r="AT116">
        <v>1.6257416584346953</v>
      </c>
      <c r="AU116">
        <v>0.42726877939342645</v>
      </c>
      <c r="AV116">
        <v>2.594261651981884</v>
      </c>
      <c r="AW116">
        <v>2.0270263759026523</v>
      </c>
      <c r="AY116">
        <v>82.812791967941749</v>
      </c>
      <c r="BA116">
        <v>32.693732842185113</v>
      </c>
      <c r="BD116">
        <f>SQRT(($T116*1000+coord!$B$7*$R116*$U116*1000-coord!$B$2-BA$114)^2+($U116*1000-coord!$B$7*$R116*$T116*1000-coord!$C$2-BA$115)^2+($V116*1000-coord!$D$2-BA$116)^2)</f>
        <v>22775199.968720023</v>
      </c>
      <c r="BE116" s="3">
        <f t="shared" si="66"/>
        <v>3.1827778991187898</v>
      </c>
      <c r="BG116" s="1"/>
      <c r="BH116" s="1"/>
      <c r="BI116" s="1"/>
      <c r="BV116">
        <f>COS(RADIANS(BK114))</f>
        <v>0.70201064969907923</v>
      </c>
      <c r="BW116">
        <v>0</v>
      </c>
      <c r="BX116">
        <f>SIN(RADIANS(BK114))</f>
        <v>0.71216644663244044</v>
      </c>
      <c r="BZ116" t="s">
        <v>95</v>
      </c>
      <c r="CA116">
        <v>0.68693582767198569</v>
      </c>
      <c r="CB116">
        <v>0.14470010695064298</v>
      </c>
      <c r="CC116">
        <v>0.71216644663244055</v>
      </c>
      <c r="CD116">
        <v>0</v>
      </c>
      <c r="CE116" s="1">
        <v>14.509413674444536</v>
      </c>
      <c r="CG116" s="1"/>
      <c r="CH116" s="1"/>
      <c r="CI116" s="1"/>
      <c r="CK116">
        <v>2.9535435294211947</v>
      </c>
      <c r="CL116">
        <v>0.46738976749615158</v>
      </c>
      <c r="CM116">
        <v>3.0261521321193068</v>
      </c>
      <c r="CN116">
        <v>2.8479881664542503</v>
      </c>
      <c r="CP116">
        <v>0.70201064969907923</v>
      </c>
      <c r="CQ116">
        <v>-5.6729344680515333E-17</v>
      </c>
      <c r="CR116">
        <v>0.71216644663244055</v>
      </c>
      <c r="CS116">
        <v>0</v>
      </c>
      <c r="CU116" s="5">
        <v>-2.4650679158360056E-3</v>
      </c>
      <c r="CV116" s="5">
        <v>-0.15143828353004579</v>
      </c>
      <c r="CW116" s="5">
        <v>4.251650229193106</v>
      </c>
      <c r="CX116" s="5">
        <v>2.8479881664542503</v>
      </c>
    </row>
    <row r="117" spans="1:111">
      <c r="A117">
        <v>32</v>
      </c>
      <c r="B117">
        <f t="shared" si="41"/>
        <v>0.51666666666666661</v>
      </c>
      <c r="C117">
        <v>4</v>
      </c>
      <c r="D117">
        <f>tetto!D117*coord!$B$13-tetto!G117*coord!$B$14</f>
        <v>21200377.319717038</v>
      </c>
      <c r="E117" s="5">
        <f>90-DEGREES(ACOS((coord!$B$2*($T117*1000-coord!$B$2)+coord!$C$2*($U117*1000-coord!$C$2)+coord!$D$2*($V117*1000-coord!$D$2))/(SQRT(coord!$B$2^2+coord!$C$2^2+coord!$D$2^2)*SQRT(($T117*1000-coord!$B$2)^2+($U117*1000-coord!$C$2)^2+($V117*1000-coord!$D$2)^2))))</f>
        <v>53.841584896668415</v>
      </c>
      <c r="F117">
        <f>(coord!$C$2*($V117*1000-coord!$D$2)-coord!$D$2*($U117*1000-coord!$C$2))/(SQRT(coord!$B$2^2+coord!$C$2^2+coord!$D$2^2)*SQRT(($T117*1000-coord!$B$2)^2+($U117*1000-coord!$C$2)^2+($V117*1000-coord!$D$2)^2))</f>
        <v>0.32069971998116875</v>
      </c>
      <c r="G117">
        <f>(-coord!$B$2*($V117*1000-coord!$D$2)+coord!$D$2*($T117*1000-coord!$B$2))/(SQRT(coord!$B$2^2+coord!$C$2^2+coord!$D$2^2)*SQRT(($T117*1000-coord!$B$2)^2+($U117*1000-coord!$C$2)^2+($V117*1000-coord!$D$2)^2))</f>
        <v>0.32104516375587921</v>
      </c>
      <c r="H117">
        <f>(coord!$B$2*($U117*1000-coord!$C$2)-coord!$C$2*($T117*1000-coord!$B$2))/(SQRT(coord!$B$2^2+coord!$C$2^2+coord!$D$2^2)*SQRT(($T117*1000-coord!$B$2)^2+($U117*1000-coord!$C$2)^2+($V117*1000-coord!$D$2)^2))</f>
        <v>-0.37710089779618194</v>
      </c>
      <c r="I117">
        <f t="shared" si="62"/>
        <v>-0.5353451856961704</v>
      </c>
      <c r="J117">
        <f t="shared" si="63"/>
        <v>0.24804372694486665</v>
      </c>
      <c r="K117">
        <f t="shared" si="64"/>
        <v>-1.7989888713469959E-3</v>
      </c>
      <c r="L117">
        <f t="shared" si="65"/>
        <v>245.14009791352217</v>
      </c>
      <c r="M117" s="5">
        <f>'sv04'!$AA$3+'sv04'!$Z$3*($B117)+'sv04'!$Y$3*($B117)^2+'sv04'!$X$3*($B117)^3+'sv04'!$W$3*($B117)^4+'sv04'!$V$3*($B117)^5+'sv04'!$U$3*($B117)^6+'sv04'!$T$3*($B117)^7+'sv04'!$S$3*($B117)^8</f>
        <v>22201.048751857561</v>
      </c>
      <c r="N117" s="5">
        <f>'sv04'!$AA$4+'sv04'!$Z$4*($B117)+'sv04'!$Y$4*($B117)^2+'sv04'!$X$4*($B117)^3+'sv04'!$W$4*($B117)^4+'sv04'!$V$4*($B117)^5+'sv04'!$U$4*($B117)^6+'sv04'!$T$4*($B117)^7+'sv04'!$S$4*($B117)^8</f>
        <v>-6935.8876779006496</v>
      </c>
      <c r="O117" s="5">
        <f>'sv04'!$AA$5+'sv04'!$Z$5*($B117)+'sv04'!$Y$5*($B117)^2+'sv04'!$X$5*($B117)^3+'sv04'!$W$5*($B117)^4+'sv04'!$V$5*($B117)^5+'sv04'!$U$5*($B117)^6+'sv04'!$T$5*($B117)^7+'sv04'!$S$5*($B117)^8</f>
        <v>12975.242354018863</v>
      </c>
      <c r="P117" s="5">
        <f>'sv04'!$AA$6+'sv04'!$Z$6*$B117+'sv04'!$Y$6*$B117^2+'sv04'!$X$6*$B117^3+'sv04'!$W$6*$B117^4+'sv04'!$V$6*$B117^5+'sv04'!$U$6*$B117^6+'sv04'!$T$6*$B117^7+'sv04'!$S$6*$B117^8</f>
        <v>86.60274624622312</v>
      </c>
      <c r="R117">
        <f>SQRT(($M117*1000-coord!$B$2)^2+($N117*1000-coord!$C$2)^2+($O117*1000-coord!$D$2)^2)/coord!$B$6</f>
        <v>7.080351144498466E-2</v>
      </c>
      <c r="T117" s="5">
        <f>'sv04'!$AA$3+'sv04'!$Z$3*($B117-$R117/3600)+'sv04'!$Y$3*($B117-$R117/3600)^2+'sv04'!$X$3*($B117-$R117/3600)^3+'sv04'!$W$3*($B117-$R117/3600)^4+'sv04'!$V$3*($B117-$R117/3600)^5+'sv04'!$U$3*($B117-$R117/3600)^6+'sv04'!$T$3*($B117-$R117/3600)^7+'sv04'!$S$3*($B117-$R117/3600)^8+N117*coord!$B$7*R117</f>
        <v>22200.897910822463</v>
      </c>
      <c r="U117" s="5">
        <f>'sv04'!$AA$4+'sv04'!$Z$4*($B117-$R117/3600)+'sv04'!$Y$4*($B117-$R117/3600)^2+'sv04'!$X$4*($B117-$R117/3600)^3+'sv04'!$W$4*($B117-$R117/3600)^4+'sv04'!$V$4*($B117-$R117/3600)^5+'sv04'!$U$4*($B117-$R117/3600)^6+'sv04'!$T$4*($B117-$R117/3600)^7+'sv04'!$S$4*($B117-$R117/3600)^8-M117*coord!$B$7*R117</f>
        <v>-6936.0343013632701</v>
      </c>
      <c r="V117" s="5">
        <f>'sv04'!$AA$5+'sv04'!$Z$5*($B117-$R117/3600)+'sv04'!$Y$5*($B117-$R117/3600)^2+'sv04'!$X$5*($B117-$R117/3600)^3+'sv04'!$W$5*($B117-$R117/3600)^4+'sv04'!$V$5*($B117-$R117/3600)^5+'sv04'!$U$5*($B117-$R117/3600)^6+'sv04'!$T$5*($B117-$R117/3600)^7+'sv04'!$S$5*($B117-$R117/3600)^8</f>
        <v>12975.417199558979</v>
      </c>
      <c r="W117">
        <f>coord!$B$6*P117/10^6</f>
        <v>25962.850166705502</v>
      </c>
      <c r="X117">
        <f>SQRT(($T117*1000+coord!$B$7*$R117*$U117*1000-coord!$B$2)^2+($U117*1000-coord!$B$7*$R117*$T117*1000-coord!$C$2)^2+($V117*1000-coord!$D$2)^2)</f>
        <v>21226368.499603149</v>
      </c>
      <c r="Y117" s="3">
        <f>$D117-(X117-$W117)-coord!$E$2</f>
        <v>-28.32971940562129</v>
      </c>
      <c r="Z117" s="3"/>
      <c r="AB117">
        <f>-(T117*1000-coord!$B$2)/$X117</f>
        <v>-0.83914588311964333</v>
      </c>
      <c r="AC117">
        <f>-(U117*1000-coord!$C$2)/$X117</f>
        <v>0.37032262559232554</v>
      </c>
      <c r="AD117">
        <f>-(V117*1000-coord!$D$2)/$X117</f>
        <v>-0.39836437049592682</v>
      </c>
      <c r="AE117">
        <v>1</v>
      </c>
      <c r="AG117">
        <v>1</v>
      </c>
      <c r="AH117">
        <v>1</v>
      </c>
      <c r="AI117">
        <v>1</v>
      </c>
      <c r="AJ117">
        <v>1</v>
      </c>
      <c r="AK117">
        <v>1</v>
      </c>
      <c r="AL117">
        <v>1</v>
      </c>
      <c r="AM117">
        <v>1</v>
      </c>
      <c r="AO117">
        <v>-3.2070476094113172</v>
      </c>
      <c r="AP117">
        <v>-0.18705239442458821</v>
      </c>
      <c r="AQ117">
        <v>-3.4288877827998259</v>
      </c>
      <c r="AR117">
        <v>7</v>
      </c>
      <c r="AT117">
        <v>1.9846842002219227</v>
      </c>
      <c r="AU117">
        <v>0.28374071184666999</v>
      </c>
      <c r="AV117">
        <v>2.0270263759026523</v>
      </c>
      <c r="AW117">
        <v>2.0526424392929141</v>
      </c>
      <c r="AY117">
        <v>-43.493784818798304</v>
      </c>
      <c r="BA117">
        <v>8.9214180458460959</v>
      </c>
      <c r="BD117">
        <f>SQRT(($T117*1000+coord!$B$7*$R117*$U117*1000-coord!$B$2-BA$114)^2+($U117*1000-coord!$B$7*$R117*$T117*1000-coord!$C$2-BA$115)^2+($V117*1000-coord!$D$2-BA$116)^2)</f>
        <v>21226327.216457557</v>
      </c>
      <c r="BE117" s="3">
        <f t="shared" si="66"/>
        <v>4.0320081401492445</v>
      </c>
      <c r="BG117" s="1"/>
      <c r="BH117" s="1"/>
      <c r="BI117" s="1"/>
      <c r="CA117">
        <v>0</v>
      </c>
      <c r="CB117">
        <v>0</v>
      </c>
      <c r="CC117">
        <v>0</v>
      </c>
      <c r="CD117">
        <v>1</v>
      </c>
      <c r="CG117" s="1"/>
      <c r="CH117" s="1"/>
      <c r="CI117" s="1"/>
      <c r="CK117">
        <v>1.9846842002219227</v>
      </c>
      <c r="CL117">
        <v>0.28374071184666999</v>
      </c>
      <c r="CM117">
        <v>2.0270263759026523</v>
      </c>
      <c r="CN117">
        <v>2.0526424392929141</v>
      </c>
      <c r="CP117">
        <v>0</v>
      </c>
      <c r="CQ117">
        <v>0</v>
      </c>
      <c r="CR117">
        <v>0</v>
      </c>
      <c r="CS117">
        <v>1</v>
      </c>
      <c r="CU117" s="5">
        <v>-1.7310800809515747E-3</v>
      </c>
      <c r="CV117" s="5">
        <v>-0.13144010755148239</v>
      </c>
      <c r="CW117" s="5">
        <v>2.8479881664542495</v>
      </c>
      <c r="CX117" s="5">
        <v>2.0526424392929141</v>
      </c>
    </row>
    <row r="118" spans="1:111">
      <c r="A118">
        <v>32</v>
      </c>
      <c r="B118">
        <f t="shared" si="41"/>
        <v>0.51666666666666661</v>
      </c>
      <c r="C118">
        <v>20</v>
      </c>
      <c r="D118">
        <f>tetto!D118*coord!$B$13-tetto!G118*coord!$B$14</f>
        <v>23183934.658016741</v>
      </c>
      <c r="E118" s="5">
        <f>90-DEGREES(ACOS((coord!$B$2*($T118*1000-coord!$B$2)+coord!$C$2*($U118*1000-coord!$C$2)+coord!$D$2*($V118*1000-coord!$D$2))/(SQRT(coord!$B$2^2+coord!$C$2^2+coord!$D$2^2)*SQRT(($T118*1000-coord!$B$2)^2+($U118*1000-coord!$C$2)^2+($V118*1000-coord!$D$2)^2))))</f>
        <v>25.401892884187035</v>
      </c>
      <c r="F118">
        <f>(coord!$C$2*($V118*1000-coord!$D$2)-coord!$D$2*($U118*1000-coord!$C$2))/(SQRT(coord!$B$2^2+coord!$C$2^2+coord!$D$2^2)*SQRT(($T118*1000-coord!$B$2)^2+($U118*1000-coord!$C$2)^2+($V118*1000-coord!$D$2)^2))</f>
        <v>-0.64219247085803599</v>
      </c>
      <c r="G118">
        <f>(-coord!$B$2*($V118*1000-coord!$D$2)+coord!$D$2*($T118*1000-coord!$B$2))/(SQRT(coord!$B$2^2+coord!$C$2^2+coord!$D$2^2)*SQRT(($T118*1000-coord!$B$2)^2+($U118*1000-coord!$C$2)^2+($V118*1000-coord!$D$2)^2))</f>
        <v>0.29297961885573914</v>
      </c>
      <c r="H118">
        <f>(coord!$B$2*($U118*1000-coord!$C$2)-coord!$C$2*($T118*1000-coord!$B$2))/(SQRT(coord!$B$2^2+coord!$C$2^2+coord!$D$2^2)*SQRT(($T118*1000-coord!$B$2)^2+($U118*1000-coord!$C$2)^2+($V118*1000-coord!$D$2)^2))</f>
        <v>0.56368503799758707</v>
      </c>
      <c r="I118">
        <f t="shared" si="62"/>
        <v>0.80022922920739803</v>
      </c>
      <c r="J118">
        <f t="shared" si="63"/>
        <v>0.41906445030537764</v>
      </c>
      <c r="K118">
        <f t="shared" si="64"/>
        <v>2.6862550754081505E-3</v>
      </c>
      <c r="L118">
        <f t="shared" si="65"/>
        <v>117.64017458229696</v>
      </c>
      <c r="M118" s="5">
        <f>'sv20'!$AA$3+'sv20'!$Z$3*($B118)+'sv20'!$Y$3*($B118)^2+'sv20'!$X$3*($B118)^3+'sv20'!$W$3*($B118)^4+'sv20'!$V$3*($B118)^5+'sv20'!$U$3*($B118)^6+'sv20'!$T$3*($B118)^7+'sv20'!$S$3*($B118)^8</f>
        <v>14174.358854067617</v>
      </c>
      <c r="N118" s="5">
        <f>'sv20'!$AA$4+'sv20'!$Z$4*($B118)+'sv20'!$Y$4*($B118)^2+'sv20'!$X$4*($B118)^3+'sv20'!$W$4*($B118)^4+'sv20'!$V$4*($B118)^5+'sv20'!$U$4*($B118)^6+'sv20'!$T$4*($B118)^7+'sv20'!$S$4*($B118)^8</f>
        <v>21959.531113155415</v>
      </c>
      <c r="O118" s="5">
        <f>'sv20'!$AA$5+'sv20'!$Z$5*($B118)+'sv20'!$Y$5*($B118)^2+'sv20'!$X$5*($B118)^3+'sv20'!$W$5*($B118)^4+'sv20'!$V$5*($B118)^5+'sv20'!$U$5*($B118)^6+'sv20'!$T$5*($B118)^7+'sv20'!$S$5*($B118)^8</f>
        <v>4734.8430358184814</v>
      </c>
      <c r="P118" s="5">
        <f>'sv20'!$AA$6+'sv20'!$Z$6*$B118+'sv20'!$Y$6*$B118^2+'sv20'!$X$6*$B118^3+'sv20'!$W$6*$B118^4+'sv20'!$V$6*$B118^5+'sv20'!$U$6*$B118^6+'sv20'!$T$6*$B118^7+'sv20'!$S$6*$B118^8</f>
        <v>55.817709281532444</v>
      </c>
      <c r="R118">
        <f>SQRT(($M118*1000-coord!$B$2)^2+($N118*1000-coord!$C$2)^2+($O118*1000-coord!$D$2)^2)/coord!$B$6</f>
        <v>7.7389137920346698E-2</v>
      </c>
      <c r="T118" s="5">
        <f>'sv20'!$AA$3+'sv20'!$Z$3*($B118-$R118/3600)+'sv20'!$Y$3*($B118-$R118/3600)^2+'sv20'!$X$3*($B118-$R118/3600)^3+'sv20'!$W$3*($B118-$R118/3600)^4+'sv20'!$V$3*($B118-$R118/3600)^5+'sv20'!$U$3*($B118-$R118/3600)^6+'sv20'!$T$3*($B118-$R118/3600)^7+'sv20'!$S$3*($B118-$R118/3600)^8+N118*coord!$B$7*R118</f>
        <v>14174.486476778096</v>
      </c>
      <c r="U118" s="5">
        <f>'sv20'!$AA$4+'sv20'!$Z$4*($B118-$R118/3600)+'sv20'!$Y$4*($B118-$R118/3600)^2+'sv20'!$X$4*($B118-$R118/3600)^3+'sv20'!$W$4*($B118-$R118/3600)^4+'sv20'!$V$4*($B118-$R118/3600)^5+'sv20'!$U$4*($B118-$R118/3600)^6+'sv20'!$T$4*($B118-$R118/3600)^7+'sv20'!$S$4*($B118-$R118/3600)^8-M118*coord!$B$7*R118</f>
        <v>21959.396419039178</v>
      </c>
      <c r="V118" s="5">
        <f>'sv20'!$AA$5+'sv20'!$Z$5*($B118-$R118/3600)+'sv20'!$Y$5*($B118-$R118/3600)^2+'sv20'!$X$5*($B118-$R118/3600)^3+'sv20'!$W$5*($B118-$R118/3600)^4+'sv20'!$V$5*($B118-$R118/3600)^5+'sv20'!$U$5*($B118-$R118/3600)^6+'sv20'!$T$5*($B118-$R118/3600)^7+'sv20'!$S$5*($B118-$R118/3600)^8</f>
        <v>4735.0784934710055</v>
      </c>
      <c r="W118">
        <f>coord!$B$6*P118/10^6</f>
        <v>16733.728265440026</v>
      </c>
      <c r="X118">
        <f>SQRT(($T118*1000+coord!$B$7*$R118*$U118*1000-coord!$B$2)^2+($U118*1000-coord!$B$7*$R118*$T118*1000-coord!$C$2)^2+($V118*1000-coord!$D$2)^2)</f>
        <v>23200593.51886877</v>
      </c>
      <c r="Y118" s="3">
        <f>$D118-(X118-$W118)-coord!$E$2</f>
        <v>74.867413409054279</v>
      </c>
      <c r="Z118" s="3"/>
      <c r="AB118">
        <f>-(T118*1000-coord!$B$2)/$X118</f>
        <v>-0.42178267112087348</v>
      </c>
      <c r="AC118">
        <f>-(U118*1000-coord!$C$2)/$X118</f>
        <v>-0.90665034878231898</v>
      </c>
      <c r="AD118">
        <f>-(V118*1000-coord!$D$2)/$X118</f>
        <v>-9.2881339003568868E-3</v>
      </c>
      <c r="AE118">
        <v>1</v>
      </c>
      <c r="BD118">
        <f>SQRT(($T118*1000+coord!$B$7*$R118*$U118*1000-coord!$B$2-BA$114)^2+($U118*1000-coord!$B$7*$R118*$T118*1000-coord!$C$2-BA$115)^2+($V118*1000-coord!$D$2-BA$116)^2)</f>
        <v>23200656.866465855</v>
      </c>
      <c r="BE118" s="3">
        <f t="shared" si="66"/>
        <v>2.5983982782687036</v>
      </c>
      <c r="BG118" s="1"/>
      <c r="BH118" s="1"/>
      <c r="BI118" s="1"/>
      <c r="CG118" s="1"/>
      <c r="CH118" s="1"/>
      <c r="CI118" s="1"/>
    </row>
    <row r="119" spans="1:111">
      <c r="A119">
        <v>32</v>
      </c>
      <c r="B119">
        <f t="shared" si="41"/>
        <v>0.51666666666666661</v>
      </c>
      <c r="C119">
        <v>13</v>
      </c>
      <c r="D119">
        <f>tetto!D119*coord!$B$13-tetto!G119*coord!$B$14</f>
        <v>20169382.609118078</v>
      </c>
      <c r="E119" s="5">
        <f>90-DEGREES(ACOS((coord!$B$2*($T119*1000-coord!$B$2)+coord!$C$2*($U119*1000-coord!$C$2)+coord!$D$2*($V119*1000-coord!$D$2))/(SQRT(coord!$B$2^2+coord!$C$2^2+coord!$D$2^2)*SQRT(($T119*1000-coord!$B$2)^2+($U119*1000-coord!$C$2)^2+($V119*1000-coord!$D$2)^2))))</f>
        <v>74.360638822179084</v>
      </c>
      <c r="F119">
        <f>(coord!$C$2*($V119*1000-coord!$D$2)-coord!$D$2*($U119*1000-coord!$C$2))/(SQRT(coord!$B$2^2+coord!$C$2^2+coord!$D$2^2)*SQRT(($T119*1000-coord!$B$2)^2+($U119*1000-coord!$C$2)^2+($V119*1000-coord!$D$2)^2))</f>
        <v>-3.8049087174247195E-2</v>
      </c>
      <c r="G119">
        <f>(-coord!$B$2*($V119*1000-coord!$D$2)+coord!$D$2*($T119*1000-coord!$B$2))/(SQRT(coord!$B$2^2+coord!$C$2^2+coord!$D$2^2)*SQRT(($T119*1000-coord!$B$2)^2+($U119*1000-coord!$C$2)^2+($V119*1000-coord!$D$2)^2))</f>
        <v>-0.25179653396816454</v>
      </c>
      <c r="H119">
        <f>(coord!$B$2*($U119*1000-coord!$C$2)-coord!$C$2*($T119*1000-coord!$B$2))/(SQRT(coord!$B$2^2+coord!$C$2^2+coord!$D$2^2)*SQRT(($T119*1000-coord!$B$2)^2+($U119*1000-coord!$C$2)^2+($V119*1000-coord!$D$2)^2))</f>
        <v>8.8458584930240752E-2</v>
      </c>
      <c r="I119">
        <f t="shared" si="62"/>
        <v>0.12557813857694342</v>
      </c>
      <c r="J119">
        <f t="shared" si="63"/>
        <v>-0.23854580541393447</v>
      </c>
      <c r="K119">
        <f t="shared" si="64"/>
        <v>4.2264879322935489E-4</v>
      </c>
      <c r="L119">
        <f t="shared" si="65"/>
        <v>27.76375310163958</v>
      </c>
      <c r="M119" s="5">
        <f>'sv13'!$AA$3+'sv13'!$Z$3*($B119)+'sv13'!$Y$3*($B119)^2+'sv13'!$X$3*($B119)^3+'sv13'!$W$3*($B119)^4+'sv13'!$V$3*($B119)^5+'sv13'!$U$3*($B119)^6+'sv13'!$T$3*($B119)^7+'sv13'!$S$3*($B119)^8</f>
        <v>13955.472460503064</v>
      </c>
      <c r="N119" s="5">
        <f>'sv13'!$AA$4+'sv13'!$Z$4*($B119)+'sv13'!$Y$4*($B119)^2+'sv13'!$X$4*($B119)^3+'sv13'!$W$4*($B119)^4+'sv13'!$V$4*($B119)^5+'sv13'!$U$4*($B119)^6+'sv13'!$T$4*($B119)^7+'sv13'!$S$4*($B119)^8</f>
        <v>5540.296517515887</v>
      </c>
      <c r="O119" s="5">
        <f>'sv13'!$AA$5+'sv13'!$Z$5*($B119)+'sv13'!$Y$5*($B119)^2+'sv13'!$X$5*($B119)^3+'sv13'!$W$5*($B119)^4+'sv13'!$V$5*($B119)^5+'sv13'!$U$5*($B119)^6+'sv13'!$T$5*($B119)^7+'sv13'!$S$5*($B119)^8</f>
        <v>21772.628371929753</v>
      </c>
      <c r="P119" s="5">
        <f>'sv13'!$AA$6+'sv13'!$Z$6*$B119+'sv13'!$Y$6*$B119^2+'sv13'!$X$6*$B119^3+'sv13'!$W$6*$B119^4+'sv13'!$V$6*$B119^5+'sv13'!$U$6*$B119^6+'sv13'!$T$6*$B119^7+'sv13'!$S$6*$B119^8</f>
        <v>304.21937829516349</v>
      </c>
      <c r="R119">
        <f>SQRT(($M119*1000-coord!$B$2)^2+($N119*1000-coord!$C$2)^2+($O119*1000-coord!$D$2)^2)/coord!$B$6</f>
        <v>6.7582098256364423E-2</v>
      </c>
      <c r="T119" s="5">
        <f>'sv13'!$AA$3+'sv13'!$Z$3*($B119-$R119/3600)+'sv13'!$Y$3*($B119-$R119/3600)^2+'sv13'!$X$3*($B119-$R119/3600)^3+'sv13'!$W$3*($B119-$R119/3600)^4+'sv13'!$V$3*($B119-$R119/3600)^5+'sv13'!$U$3*($B119-$R119/3600)^6+'sv13'!$T$3*($B119-$R119/3600)^7+'sv13'!$S$3*($B119-$R119/3600)^8+N119*coord!$B$7*R119</f>
        <v>13955.62061500663</v>
      </c>
      <c r="U119" s="5">
        <f>'sv13'!$AA$4+'sv13'!$Z$4*($B119-$R119/3600)+'sv13'!$Y$4*($B119-$R119/3600)^2+'sv13'!$X$4*($B119-$R119/3600)^3+'sv13'!$W$4*($B119-$R119/3600)^4+'sv13'!$V$4*($B119-$R119/3600)^5+'sv13'!$U$4*($B119-$R119/3600)^6+'sv13'!$T$4*($B119-$R119/3600)^7+'sv13'!$S$4*($B119-$R119/3600)^8-M119*coord!$B$7*R119</f>
        <v>5540.0830734055908</v>
      </c>
      <c r="V119" s="5">
        <f>'sv13'!$AA$5+'sv13'!$Z$5*($B119-$R119/3600)+'sv13'!$Y$5*($B119-$R119/3600)^2+'sv13'!$X$5*($B119-$R119/3600)^3+'sv13'!$W$5*($B119-$R119/3600)^4+'sv13'!$V$5*($B119-$R119/3600)^5+'sv13'!$U$5*($B119-$R119/3600)^6+'sv13'!$T$5*($B119-$R119/3600)^7+'sv13'!$S$5*($B119-$R119/3600)^8</f>
        <v>21772.588185184879</v>
      </c>
      <c r="W119">
        <f>coord!$B$6*P119/10^6</f>
        <v>91202.675190338909</v>
      </c>
      <c r="X119">
        <f>SQRT(($T119*1000+coord!$B$7*$R119*$U119*1000-coord!$B$2)^2+($U119*1000-coord!$B$7*$R119*$T119*1000-coord!$C$2)^2+($V119*1000-coord!$D$2)^2)</f>
        <v>20260587.686652575</v>
      </c>
      <c r="Y119" s="3">
        <f>$D119-(X119-$W119)-coord!$E$2</f>
        <v>-2.4023441560566425</v>
      </c>
      <c r="Z119" s="3"/>
      <c r="AB119">
        <f>-(T119*1000-coord!$B$2)/$X119</f>
        <v>-0.47218484439664504</v>
      </c>
      <c r="AC119">
        <f>-(U119*1000-coord!$C$2)/$X119</f>
        <v>-0.22780745216222104</v>
      </c>
      <c r="AD119">
        <f>-(V119*1000-coord!$D$2)/$X119</f>
        <v>-0.85155476127925667</v>
      </c>
      <c r="AE119">
        <v>1</v>
      </c>
      <c r="BD119">
        <f>SQRT(($T119*1000+coord!$B$7*$R119*$U119*1000-coord!$B$2-BA$114)^2+($U119*1000-coord!$B$7*$R119*$T119*1000-coord!$C$2-BA$115)^2+($V119*1000-coord!$D$2-BA$116)^2)</f>
        <v>20260575.020901341</v>
      </c>
      <c r="BE119" s="3">
        <f t="shared" si="66"/>
        <v>1.3419890317941991</v>
      </c>
      <c r="BG119" s="1"/>
      <c r="BH119" s="1"/>
      <c r="BI119" s="1"/>
      <c r="CG119" s="1"/>
      <c r="CH119" s="1"/>
      <c r="CI119" s="1"/>
    </row>
    <row r="120" spans="1:111">
      <c r="A120">
        <v>32</v>
      </c>
      <c r="B120">
        <f t="shared" si="41"/>
        <v>0.51666666666666661</v>
      </c>
      <c r="C120">
        <v>7</v>
      </c>
      <c r="D120">
        <f>tetto!D120*coord!$B$13-tetto!G120*coord!$B$14</f>
        <v>21700378.435502786</v>
      </c>
      <c r="E120" s="5">
        <f>90-DEGREES(ACOS((coord!$B$2*($T120*1000-coord!$B$2)+coord!$C$2*($U120*1000-coord!$C$2)+coord!$D$2*($V120*1000-coord!$D$2))/(SQRT(coord!$B$2^2+coord!$C$2^2+coord!$D$2^2)*SQRT(($T120*1000-coord!$B$2)^2+($U120*1000-coord!$C$2)^2+($V120*1000-coord!$D$2)^2))))</f>
        <v>45.976938862991531</v>
      </c>
      <c r="F120">
        <f>(coord!$C$2*($V120*1000-coord!$D$2)-coord!$D$2*($U120*1000-coord!$C$2))/(SQRT(coord!$B$2^2+coord!$C$2^2+coord!$D$2^2)*SQRT(($T120*1000-coord!$B$2)^2+($U120*1000-coord!$C$2)^2+($V120*1000-coord!$D$2)^2))</f>
        <v>-0.17799092727949958</v>
      </c>
      <c r="G120">
        <f>(-coord!$B$2*($V120*1000-coord!$D$2)+coord!$D$2*($T120*1000-coord!$B$2))/(SQRT(coord!$B$2^2+coord!$C$2^2+coord!$D$2^2)*SQRT(($T120*1000-coord!$B$2)^2+($U120*1000-coord!$C$2)^2+($V120*1000-coord!$D$2)^2))</f>
        <v>0.67082294646162066</v>
      </c>
      <c r="H120">
        <f>(coord!$B$2*($U120*1000-coord!$C$2)-coord!$C$2*($T120*1000-coord!$B$2))/(SQRT(coord!$B$2^2+coord!$C$2^2+coord!$D$2^2)*SQRT(($T120*1000-coord!$B$2)^2+($U120*1000-coord!$C$2)^2+($V120*1000-coord!$D$2)^2))</f>
        <v>3.5613328236829847E-2</v>
      </c>
      <c r="I120">
        <f t="shared" si="62"/>
        <v>5.056050583316872E-2</v>
      </c>
      <c r="J120">
        <f t="shared" si="63"/>
        <v>0.69310613335747473</v>
      </c>
      <c r="K120">
        <f t="shared" si="64"/>
        <v>1.6731262708078593E-4</v>
      </c>
      <c r="L120">
        <f t="shared" si="65"/>
        <v>175.82779418315499</v>
      </c>
      <c r="M120" s="5">
        <f>'sv07'!$AA$3+'sv07'!$Z$3*($B120)+'sv07'!$Y$3*($B120)^2+'sv07'!$X$3*($B120)^3+'sv07'!$W$3*($B120)^4+'sv07'!$V$3*($B120)^5+'sv07'!$U$3*($B120)^6+'sv07'!$T$3*($B120)^7+'sv07'!$S$3*($B120)^8</f>
        <v>25364.373384361406</v>
      </c>
      <c r="N120" s="5">
        <f>'sv07'!$AA$4+'sv07'!$Z$4*($B120)+'sv07'!$Y$4*($B120)^2+'sv07'!$X$4*($B120)^3+'sv07'!$W$4*($B120)^4+'sv07'!$V$4*($B120)^5+'sv07'!$U$4*($B120)^6+'sv07'!$T$4*($B120)^7+'sv07'!$S$4*($B120)^8</f>
        <v>6464.6764415715106</v>
      </c>
      <c r="O120" s="5">
        <f>'sv07'!$AA$5+'sv07'!$Z$5*($B120)+'sv07'!$Y$5*($B120)^2+'sv07'!$X$5*($B120)^3+'sv07'!$W$5*($B120)^4+'sv07'!$V$5*($B120)^5+'sv07'!$U$5*($B120)^6+'sv07'!$T$5*($B120)^7+'sv07'!$S$5*($B120)^8</f>
        <v>5000.787467840506</v>
      </c>
      <c r="P120" s="5">
        <f>'sv07'!$AA$6+'sv07'!$Z$6*$B120+'sv07'!$Y$6*$B120^2+'sv07'!$X$6*$B120^3+'sv07'!$W$6*$B120^4+'sv07'!$V$6*$B120^5+'sv07'!$U$6*$B120^6+'sv07'!$T$6*$B120^7+'sv07'!$S$6*$B120^8</f>
        <v>-0.63790643140532921</v>
      </c>
      <c r="R120">
        <f>SQRT(($M120*1000-coord!$B$2)^2+($N120*1000-coord!$C$2)^2+($O120*1000-coord!$D$2)^2)/coord!$B$6</f>
        <v>7.238384898736959E-2</v>
      </c>
      <c r="T120" s="5">
        <f>'sv07'!$AA$3+'sv07'!$Z$3*($B120-$R120/3600)+'sv07'!$Y$3*($B120-$R120/3600)^2+'sv07'!$X$3*($B120-$R120/3600)^3+'sv07'!$W$3*($B120-$R120/3600)^4+'sv07'!$V$3*($B120-$R120/3600)^5+'sv07'!$U$3*($B120-$R120/3600)^6+'sv07'!$T$3*($B120-$R120/3600)^7+'sv07'!$S$3*($B120-$R120/3600)^8+N120*coord!$B$7*R120</f>
        <v>25364.45493189136</v>
      </c>
      <c r="U120" s="5">
        <f>'sv07'!$AA$4+'sv07'!$Z$4*($B120-$R120/3600)+'sv07'!$Y$4*($B120-$R120/3600)^2+'sv07'!$X$4*($B120-$R120/3600)^3+'sv07'!$W$4*($B120-$R120/3600)^4+'sv07'!$V$4*($B120-$R120/3600)^5+'sv07'!$U$4*($B120-$R120/3600)^6+'sv07'!$T$4*($B120-$R120/3600)^7+'sv07'!$S$4*($B120-$R120/3600)^8-M120*coord!$B$7*R120</f>
        <v>6464.5316528443627</v>
      </c>
      <c r="V120" s="5">
        <f>'sv07'!$AA$5+'sv07'!$Z$5*($B120-$R120/3600)+'sv07'!$Y$5*($B120-$R120/3600)^2+'sv07'!$X$5*($B120-$R120/3600)^3+'sv07'!$W$5*($B120-$R120/3600)^4+'sv07'!$V$5*($B120-$R120/3600)^5+'sv07'!$U$5*($B120-$R120/3600)^6+'sv07'!$T$5*($B120-$R120/3600)^7+'sv07'!$S$5*($B120-$R120/3600)^8</f>
        <v>5000.5627451237178</v>
      </c>
      <c r="W120">
        <f>coord!$B$6*P120/10^6</f>
        <v>-191.23953704501201</v>
      </c>
      <c r="X120">
        <f>SQRT(($T120*1000+coord!$B$7*$R120*$U120*1000-coord!$B$2)^2+($U120*1000-coord!$B$7*$R120*$T120*1000-coord!$C$2)^2+($V120*1000-coord!$D$2)^2)</f>
        <v>21700167.688904338</v>
      </c>
      <c r="Y120" s="3">
        <f>$D120-(X120-$W120)-coord!$E$2</f>
        <v>19.507061403244734</v>
      </c>
      <c r="Z120" s="3" t="s">
        <v>127</v>
      </c>
      <c r="AA120" s="1" t="s">
        <v>128</v>
      </c>
      <c r="AB120">
        <f>-(T120*1000-coord!$B$2)/$X120</f>
        <v>-0.96660897103650156</v>
      </c>
      <c r="AC120">
        <f>-(U120*1000-coord!$C$2)/$X120</f>
        <v>-0.25529578937203506</v>
      </c>
      <c r="AD120">
        <f>-(V120*1000-coord!$D$2)/$X120</f>
        <v>-2.216455087900766E-2</v>
      </c>
      <c r="AE120">
        <v>1</v>
      </c>
      <c r="BD120">
        <f>SQRT(($T120*1000+coord!$B$7*$R120*$U120*1000-coord!$B$2-BA$114)^2+($U120*1000-coord!$B$7*$R120*$T120*1000-coord!$C$2-BA$115)^2+($V120*1000-coord!$D$2-BA$116)^2)</f>
        <v>21700182.992272034</v>
      </c>
      <c r="BE120" s="3">
        <f t="shared" si="66"/>
        <v>-4.7177243393038424</v>
      </c>
      <c r="BF120" s="3" t="s">
        <v>127</v>
      </c>
      <c r="BG120" s="1" t="s">
        <v>128</v>
      </c>
      <c r="BH120" s="1"/>
      <c r="BI120" s="1"/>
      <c r="CG120" s="1"/>
      <c r="CH120" s="1"/>
      <c r="CI120" s="1"/>
    </row>
    <row r="121" spans="1:111">
      <c r="Y121" s="3"/>
      <c r="Z121" s="3">
        <f>AVERAGE($Y114:$Y120)</f>
        <v>-6.2133978312569003</v>
      </c>
      <c r="AA121" s="1">
        <f>SQRT(DEVSQ($Y114:$Y120)/6)</f>
        <v>51.011419788044769</v>
      </c>
      <c r="BE121" s="3"/>
      <c r="BF121" s="3">
        <f>AVERAGE($BE114:$BE120)</f>
        <v>1.6193723929802673E-4</v>
      </c>
      <c r="BG121" s="1">
        <f>SQRT(DEVSQ($BE114:$BE120)/6)</f>
        <v>3.7320056211941175</v>
      </c>
      <c r="BH121" s="1"/>
      <c r="BI121" s="1"/>
      <c r="CG121" s="1"/>
      <c r="CH121" s="1"/>
      <c r="CI121" s="1"/>
    </row>
    <row r="122" spans="1:111">
      <c r="A122">
        <v>34</v>
      </c>
      <c r="B122">
        <f t="shared" si="41"/>
        <v>0.53333333333333333</v>
      </c>
      <c r="C122">
        <v>2</v>
      </c>
      <c r="D122">
        <f>tetto!D122*coord!$B$13-tetto!G122*coord!$B$14</f>
        <v>22475170.173530705</v>
      </c>
      <c r="E122" s="5">
        <f>90-DEGREES(ACOS((coord!$B$2*($T122*1000-coord!$B$2)+coord!$C$2*($U122*1000-coord!$C$2)+coord!$D$2*($V122*1000-coord!$D$2))/(SQRT(coord!$B$2^2+coord!$C$2^2+coord!$D$2^2)*SQRT(($T122*1000-coord!$B$2)^2+($U122*1000-coord!$C$2)^2+($V122*1000-coord!$D$2)^2))))</f>
        <v>31.875077012959792</v>
      </c>
      <c r="F122">
        <f>(coord!$C$2*($V122*1000-coord!$D$2)-coord!$D$2*($U122*1000-coord!$C$2))/(SQRT(coord!$B$2^2+coord!$C$2^2+coord!$D$2^2)*SQRT(($T122*1000-coord!$B$2)^2+($U122*1000-coord!$C$2)^2+($V122*1000-coord!$D$2)^2))</f>
        <v>0.58470157170669701</v>
      </c>
      <c r="G122">
        <f>(-coord!$B$2*($V122*1000-coord!$D$2)+coord!$D$2*($T122*1000-coord!$B$2))/(SQRT(coord!$B$2^2+coord!$C$2^2+coord!$D$2^2)*SQRT(($T122*1000-coord!$B$2)^2+($U122*1000-coord!$C$2)^2+($V122*1000-coord!$D$2)^2))</f>
        <v>-0.37037847341437902</v>
      </c>
      <c r="H122">
        <f>(coord!$B$2*($U122*1000-coord!$C$2)-coord!$C$2*($T122*1000-coord!$B$2))/(SQRT(coord!$B$2^2+coord!$C$2^2+coord!$D$2^2)*SQRT(($T122*1000-coord!$B$2)^2+($U122*1000-coord!$C$2)^2+($V122*1000-coord!$D$2)^2))</f>
        <v>-0.49202337146760716</v>
      </c>
      <c r="I122">
        <f t="shared" ref="I122:I128" si="67">$F122*$CA$2+$G122*$CB$2+$H122*$CC$2</f>
        <v>-0.69849596551776871</v>
      </c>
      <c r="J122">
        <f t="shared" ref="J122:J128" si="68">$F122*$CA$3+$G122*$CB$3+$H122*$CC$3</f>
        <v>-0.48295033893853223</v>
      </c>
      <c r="K122">
        <f t="shared" ref="K122:K128" si="69">$F122*$CA$4+$G122*$CB$4+$H122*$CC$4</f>
        <v>-2.3443271861178783E-3</v>
      </c>
      <c r="L122">
        <f t="shared" ref="L122:L128" si="70">90+DEGREES(ATAN2(I122,J122))</f>
        <v>-55.339450448787318</v>
      </c>
      <c r="M122" s="5">
        <f>'sv02'!$AA$3+'sv02'!$Z$3*($B122)+'sv02'!$Y$3*($B122)^2+'sv02'!$X$3*($B122)^3+'sv02'!$W$3*($B122)^4+'sv02'!$V$3*($B122)^5+'sv02'!$U$3*($B122)^6+'sv02'!$T$3*($B122)^7+'sv02'!$S$3*($B122)^8</f>
        <v>8280.1847146096752</v>
      </c>
      <c r="N122" s="5">
        <f>'sv02'!$AA$4+'sv02'!$Z$4*($B122)+'sv02'!$Y$4*($B122)^2+'sv02'!$X$4*($B122)^3+'sv02'!$W$4*($B122)^4+'sv02'!$V$4*($B122)^5+'sv02'!$U$4*($B122)^6+'sv02'!$T$4*($B122)^7+'sv02'!$S$4*($B122)^8</f>
        <v>-14354.268657240567</v>
      </c>
      <c r="O122" s="5">
        <f>'sv02'!$AA$5+'sv02'!$Z$5*($B122)+'sv02'!$Y$5*($B122)^2+'sv02'!$X$5*($B122)^3+'sv02'!$W$5*($B122)^4+'sv02'!$V$5*($B122)^5+'sv02'!$U$5*($B122)^6+'sv02'!$T$5*($B122)^7+'sv02'!$S$5*($B122)^8</f>
        <v>20644.920916586489</v>
      </c>
      <c r="P122" s="5">
        <f>'sv02'!$AA$6+'sv02'!$Z$6*$B122+'sv02'!$Y$6*$B122^2+'sv02'!$X$6*$B122^3+'sv02'!$W$6*$B122^4+'sv02'!$V$6*$B122^5+'sv02'!$U$6*$B122^6+'sv02'!$T$6*$B122^7+'sv02'!$S$6*$B122^8</f>
        <v>257.59307549759353</v>
      </c>
      <c r="R122">
        <f>SQRT(($M122*1000-coord!$B$2)^2+($N122*1000-coord!$C$2)^2+($O122*1000-coord!$D$2)^2)/coord!$B$6</f>
        <v>7.5226767495798735E-2</v>
      </c>
      <c r="T122" s="5">
        <f>'sv02'!$AA$3+'sv02'!$Z$3*($B122-$R122/3600)+'sv02'!$Y$3*($B122-$R122/3600)^2+'sv02'!$X$3*($B122-$R122/3600)^3+'sv02'!$W$3*($B122-$R122/3600)^4+'sv02'!$V$3*($B122-$R122/3600)^5+'sv02'!$U$3*($B122-$R122/3600)^6+'sv02'!$T$3*($B122-$R122/3600)^7+'sv02'!$S$3*($B122-$R122/3600)^8+N122*coord!$B$7*R122</f>
        <v>8279.9087559264572</v>
      </c>
      <c r="U122" s="5">
        <f>'sv02'!$AA$4+'sv02'!$Z$4*($B122-$R122/3600)+'sv02'!$Y$4*($B122-$R122/3600)^2+'sv02'!$X$4*($B122-$R122/3600)^3+'sv02'!$W$4*($B122-$R122/3600)^4+'sv02'!$V$4*($B122-$R122/3600)^5+'sv02'!$U$4*($B122-$R122/3600)^6+'sv02'!$T$4*($B122-$R122/3600)^7+'sv02'!$S$4*($B122-$R122/3600)^8-M122*coord!$B$7*R122</f>
        <v>-14354.341543190896</v>
      </c>
      <c r="V122" s="5">
        <f>'sv02'!$AA$5+'sv02'!$Z$5*($B122-$R122/3600)+'sv02'!$Y$5*($B122-$R122/3600)^2+'sv02'!$X$5*($B122-$R122/3600)^3+'sv02'!$W$5*($B122-$R122/3600)^4+'sv02'!$V$5*($B122-$R122/3600)^5+'sv02'!$U$5*($B122-$R122/3600)^6+'sv02'!$T$5*($B122-$R122/3600)^7+'sv02'!$S$5*($B122-$R122/3600)^8</f>
        <v>20644.984282992817</v>
      </c>
      <c r="W122">
        <f>coord!$B$6*P122/10^6</f>
        <v>77224.461267203136</v>
      </c>
      <c r="X122">
        <f>SQRT(($T122*1000+coord!$B$7*$R122*$U122*1000-coord!$B$2)^2+($U122*1000-coord!$B$7*$R122*$T122*1000-coord!$C$2)^2+($V122*1000-coord!$D$2)^2)</f>
        <v>22552481.794486981</v>
      </c>
      <c r="Y122" s="3">
        <f>$D122-(X122-$W122)-coord!$E$2</f>
        <v>-87.159689072519541</v>
      </c>
      <c r="Z122" s="3"/>
      <c r="AB122">
        <f>-(T122*1000-coord!$B$2)/$X122</f>
        <v>-0.17253225700763586</v>
      </c>
      <c r="AC122">
        <f>-(U122*1000-coord!$C$2)/$X122</f>
        <v>0.67748250040161295</v>
      </c>
      <c r="AD122">
        <f>-(V122*1000-coord!$D$2)/$X122</f>
        <v>-0.7150164738248328</v>
      </c>
      <c r="AE122">
        <v>1</v>
      </c>
      <c r="AG122">
        <f t="array" ref="AG122:AM125">TRANSPOSE(AB122:AE128)</f>
        <v>-0.17253225700763586</v>
      </c>
      <c r="AH122">
        <v>-0.17098126638317385</v>
      </c>
      <c r="AI122">
        <v>-0.16915928051297038</v>
      </c>
      <c r="AJ122">
        <v>-0.84319974878602821</v>
      </c>
      <c r="AK122">
        <v>-0.4210030694811368</v>
      </c>
      <c r="AL122">
        <v>-0.4666867806514241</v>
      </c>
      <c r="AM122">
        <v>-0.96616462678380821</v>
      </c>
      <c r="AO122">
        <f t="array" ref="AO122:AR125">MMULT(AG122:AM125,AB122:AE128)</f>
        <v>2.1271168734942543</v>
      </c>
      <c r="AP122">
        <v>0.2872842586786058</v>
      </c>
      <c r="AQ122">
        <v>1.1253341480904446</v>
      </c>
      <c r="AR122">
        <v>-3.2097270296061771</v>
      </c>
      <c r="AT122">
        <f t="array" ref="AT122:AW125">MINVERSE(AO122:AR125)</f>
        <v>2.5941037798877882</v>
      </c>
      <c r="AU122">
        <v>0.15463327584394099</v>
      </c>
      <c r="AV122">
        <v>1.6411510688926358</v>
      </c>
      <c r="AW122">
        <v>1.9968143423706723</v>
      </c>
      <c r="AY122">
        <f t="array" ref="AY122:AY125">MMULT(AG122:AM125,Y122:Y128)</f>
        <v>-12.00620569446928</v>
      </c>
      <c r="BA122">
        <f t="array" ref="BA122:BA125">MMULT(AT122:AW125,AY122:AY125)</f>
        <v>-1.110844640636401</v>
      </c>
      <c r="BD122">
        <f>SQRT(($T122*1000+coord!$B$7*$R122*$U122*1000-coord!$B$2-BA$122)^2+($U122*1000-coord!$B$7*$R122*$T122*1000-coord!$C$2-BA$123)^2+($V122*1000-coord!$D$2-BA$124)^2)</f>
        <v>22552390.925039031</v>
      </c>
      <c r="BE122" s="3">
        <f>$D122-(BD122-$W122)-BA$125</f>
        <v>-5.0843042728902361</v>
      </c>
      <c r="BG122" s="1">
        <f>coord!$B$2+$BA122</f>
        <v>4388877.0599553594</v>
      </c>
      <c r="BH122" s="1">
        <f>coord!$C$2+$BA123</f>
        <v>924478.05983699311</v>
      </c>
      <c r="BI122" s="1">
        <f>coord!$D$2+$BA124</f>
        <v>4519628.3134683939</v>
      </c>
      <c r="BJ122" s="1">
        <f>coord!$E$2+$BA125</f>
        <v>8.7940631506444475</v>
      </c>
      <c r="BK122" s="8">
        <f>lat($BG122,$BH122,$BI122)</f>
        <v>45.411552862043692</v>
      </c>
      <c r="BL122" s="8">
        <f>lon($BG122,$BH122,$BI122)</f>
        <v>11.894957531611391</v>
      </c>
      <c r="BM122" s="6">
        <f>h($BG122,$BH122,$BI122)</f>
        <v>76.537628487683833</v>
      </c>
      <c r="BO122">
        <f>grado($BK122)</f>
        <v>45</v>
      </c>
      <c r="BP122">
        <f>MINUTOprimo($BK122)</f>
        <v>24</v>
      </c>
      <c r="BQ122">
        <f>MINUTOsecondo($BK122)</f>
        <v>41.59030335729085</v>
      </c>
      <c r="BR122">
        <f>grado($BL122)</f>
        <v>11</v>
      </c>
      <c r="BS122">
        <f>MINUTOprimo($BL122)</f>
        <v>53</v>
      </c>
      <c r="BT122">
        <f>MINUTOsecondo($BL122)</f>
        <v>41.847113801008078</v>
      </c>
      <c r="BV122">
        <f>-SIN(RADIANS(BK122))*COS(RADIANS(BL122))</f>
        <v>-0.69687532715644307</v>
      </c>
      <c r="BW122">
        <f>-SIN(RADIANS(BL122))</f>
        <v>-0.20611806829664192</v>
      </c>
      <c r="BX122">
        <f>COS(RADIANS(BK122))*COS(RADIANS(BL122))</f>
        <v>0.68693531014372922</v>
      </c>
      <c r="BZ122" t="s">
        <v>93</v>
      </c>
      <c r="CA122">
        <f t="array" ref="CA122:CC124">MINVERSE(BV122:BX124)</f>
        <v>-0.69687532715644274</v>
      </c>
      <c r="CB122">
        <v>-0.14679061217640196</v>
      </c>
      <c r="CC122">
        <v>0.70200946900841565</v>
      </c>
      <c r="CD122">
        <v>0</v>
      </c>
      <c r="CE122" s="1">
        <f t="array" ref="CE122:CE124">MMULT(CA122:CC124,BA122:BA124)</f>
        <v>42.409244136338515</v>
      </c>
      <c r="CG122" s="1">
        <f t="array" ref="CG122:CI122">TRANSPOSE(CE122:CE124)</f>
        <v>42.409244136338515</v>
      </c>
      <c r="CH122" s="1">
        <v>-89.945600566774985</v>
      </c>
      <c r="CI122" s="1">
        <v>14.417220449265876</v>
      </c>
      <c r="CK122">
        <f t="array" ref="CK122:CN125">MMULT(CA122:CD125,AT122:AW125)</f>
        <v>-0.67836204307512826</v>
      </c>
      <c r="CL122">
        <v>0.13003794341942682</v>
      </c>
      <c r="CM122">
        <v>0.62368163802664167</v>
      </c>
      <c r="CN122">
        <v>-2.140967739502786E-3</v>
      </c>
      <c r="CP122">
        <f t="array" ref="CP122:CS125">TRANSPOSE(CA122:CD125)</f>
        <v>-0.69687532715644274</v>
      </c>
      <c r="CQ122">
        <v>-0.20611806829664184</v>
      </c>
      <c r="CR122">
        <v>0.68693531014372899</v>
      </c>
      <c r="CS122">
        <v>0</v>
      </c>
      <c r="CU122" s="5">
        <f t="array" ref="CU122:CX125">MMULT(CK122:CN125,CP122:CS125)</f>
        <v>0.89147583691917665</v>
      </c>
      <c r="CV122" s="5">
        <v>0.26706832934192254</v>
      </c>
      <c r="CW122" s="5">
        <v>-3.0088996624909603E-3</v>
      </c>
      <c r="CX122" s="5">
        <v>-2.140967739502786E-3</v>
      </c>
      <c r="CZ122" s="3">
        <f>SQRT(CU122+CV123)</f>
        <v>1.1887062117299512</v>
      </c>
      <c r="DA122" s="3">
        <f>CW124</f>
        <v>4.2858471663998037</v>
      </c>
      <c r="DB122" s="3">
        <f>CX125</f>
        <v>2.0663400549669464</v>
      </c>
      <c r="DC122" s="3">
        <f>BG129</f>
        <v>3.7473840634721292</v>
      </c>
      <c r="DD122">
        <v>6</v>
      </c>
      <c r="DE122" s="6">
        <f>DB122*DD122*DC122</f>
        <v>46.460218750183543</v>
      </c>
      <c r="DF122">
        <v>5.33</v>
      </c>
      <c r="DG122" s="6">
        <f>DC122*DF122*SQRT(0.5*(CU122+CV123)+SQRT((0.5*(CU122-CV123))^2+CV122^2))</f>
        <v>20.284486387825901</v>
      </c>
    </row>
    <row r="123" spans="1:111">
      <c r="A123">
        <v>34</v>
      </c>
      <c r="B123">
        <f t="shared" si="41"/>
        <v>0.53333333333333333</v>
      </c>
      <c r="C123">
        <v>23</v>
      </c>
      <c r="D123">
        <f>tetto!D123*coord!$B$13-tetto!G123*coord!$B$14</f>
        <v>21216932.508171745</v>
      </c>
      <c r="E123" s="5">
        <f>90-DEGREES(ACOS((coord!$B$2*($T123*1000-coord!$B$2)+coord!$C$2*($U123*1000-coord!$C$2)+coord!$D$2*($V123*1000-coord!$D$2))/(SQRT(coord!$B$2^2+coord!$C$2^2+coord!$D$2^2)*SQRT(($T123*1000-coord!$B$2)^2+($U123*1000-coord!$C$2)^2+($V123*1000-coord!$D$2)^2))))</f>
        <v>49.537975889688923</v>
      </c>
      <c r="F123">
        <f>(coord!$C$2*($V123*1000-coord!$D$2)-coord!$D$2*($U123*1000-coord!$C$2))/(SQRT(coord!$B$2^2+coord!$C$2^2+coord!$D$2^2)*SQRT(($T123*1000-coord!$B$2)^2+($U123*1000-coord!$C$2)^2+($V123*1000-coord!$D$2)^2))</f>
        <v>-0.3100469932562912</v>
      </c>
      <c r="G123">
        <f>(-coord!$B$2*($V123*1000-coord!$D$2)+coord!$D$2*($T123*1000-coord!$B$2))/(SQRT(coord!$B$2^2+coord!$C$2^2+coord!$D$2^2)*SQRT(($T123*1000-coord!$B$2)^2+($U123*1000-coord!$C$2)^2+($V123*1000-coord!$D$2)^2))</f>
        <v>-0.4188271311527334</v>
      </c>
      <c r="H123">
        <f>(coord!$B$2*($U123*1000-coord!$C$2)-coord!$C$2*($T123*1000-coord!$B$2))/(SQRT(coord!$B$2^2+coord!$C$2^2+coord!$D$2^2)*SQRT(($T123*1000-coord!$B$2)^2+($U123*1000-coord!$C$2)^2+($V123*1000-coord!$D$2)^2))</f>
        <v>0.38675947110232517</v>
      </c>
      <c r="I123">
        <f t="shared" si="67"/>
        <v>0.54905648818455033</v>
      </c>
      <c r="J123">
        <f t="shared" si="68"/>
        <v>-0.34592160904010899</v>
      </c>
      <c r="K123">
        <f t="shared" si="69"/>
        <v>1.8453958373781387E-3</v>
      </c>
      <c r="L123">
        <f t="shared" si="70"/>
        <v>57.787875432985189</v>
      </c>
      <c r="M123" s="5">
        <f>'sv23'!$AA$3+'sv23'!$Z$3*($B123)+'sv23'!$Y$3*($B123)^2+'sv23'!$X$3*($B123)^3+'sv23'!$W$3*($B123)^4+'sv23'!$V$3*($B123)^5+'sv23'!$U$3*($B123)^6+'sv23'!$T$3*($B123)^7+'sv23'!$S$3*($B123)^8</f>
        <v>8035.3489265284679</v>
      </c>
      <c r="N123" s="5">
        <f>'sv23'!$AA$4+'sv23'!$Z$4*($B123)+'sv23'!$Y$4*($B123)^2+'sv23'!$X$4*($B123)^3+'sv23'!$W$4*($B123)^4+'sv23'!$V$4*($B123)^5+'sv23'!$U$4*($B123)^6+'sv23'!$T$4*($B123)^7+'sv23'!$S$4*($B123)^8</f>
        <v>13660.287885457456</v>
      </c>
      <c r="O123" s="5">
        <f>'sv23'!$AA$5+'sv23'!$Z$5*($B123)+'sv23'!$Y$5*($B123)^2+'sv23'!$X$5*($B123)^3+'sv23'!$W$5*($B123)^4+'sv23'!$V$5*($B123)^5+'sv23'!$U$5*($B123)^6+'sv23'!$T$5*($B123)^7+'sv23'!$S$5*($B123)^8</f>
        <v>21234.367004821732</v>
      </c>
      <c r="P123" s="5">
        <f>'sv23'!$AA$6+'sv23'!$Z$6*$B123+'sv23'!$Y$6*$B123^2+'sv23'!$X$6*$B123^3+'sv23'!$W$6*$B123^4+'sv23'!$V$6*$B123^5+'sv23'!$U$6*$B123^6+'sv23'!$T$6*$B123^7+'sv23'!$S$6*$B123^8</f>
        <v>370.05617973073663</v>
      </c>
      <c r="R123">
        <f>SQRT(($M123*1000-coord!$B$2)^2+($N123*1000-coord!$C$2)^2+($O123*1000-coord!$D$2)^2)/coord!$B$6</f>
        <v>7.1142198142251395E-2</v>
      </c>
      <c r="T123" s="5">
        <f>'sv23'!$AA$3+'sv23'!$Z$3*($B123-$R123/3600)+'sv23'!$Y$3*($B123-$R123/3600)^2+'sv23'!$X$3*($B123-$R123/3600)^3+'sv23'!$W$3*($B123-$R123/3600)^4+'sv23'!$V$3*($B123-$R123/3600)^5+'sv23'!$U$3*($B123-$R123/3600)^6+'sv23'!$T$3*($B123-$R123/3600)^7+'sv23'!$S$3*($B123-$R123/3600)^8+N123*coord!$B$7*R123</f>
        <v>8035.5395210333772</v>
      </c>
      <c r="U123" s="5">
        <f>'sv23'!$AA$4+'sv23'!$Z$4*($B123-$R123/3600)+'sv23'!$Y$4*($B123-$R123/3600)^2+'sv23'!$X$4*($B123-$R123/3600)^3+'sv23'!$W$4*($B123-$R123/3600)^4+'sv23'!$V$4*($B123-$R123/3600)^5+'sv23'!$U$4*($B123-$R123/3600)^6+'sv23'!$T$4*($B123-$R123/3600)^7+'sv23'!$S$4*($B123-$R123/3600)^8-M123*coord!$B$7*R123</f>
        <v>13660.095310478553</v>
      </c>
      <c r="V123" s="5">
        <f>'sv23'!$AA$5+'sv23'!$Z$5*($B123-$R123/3600)+'sv23'!$Y$5*($B123-$R123/3600)^2+'sv23'!$X$5*($B123-$R123/3600)^3+'sv23'!$W$5*($B123-$R123/3600)^4+'sv23'!$V$5*($B123-$R123/3600)^5+'sv23'!$U$5*($B123-$R123/3600)^6+'sv23'!$T$5*($B123-$R123/3600)^7+'sv23'!$S$5*($B123-$R123/3600)^8</f>
        <v>21234.420903622347</v>
      </c>
      <c r="W123">
        <f>coord!$B$6*P123/10^6</f>
        <v>110940.0517195673</v>
      </c>
      <c r="X123">
        <f>SQRT(($T123*1000+coord!$B$7*$R123*$U123*1000-coord!$B$2)^2+($U123*1000-coord!$B$7*$R123*$T123*1000-coord!$C$2)^2+($V123*1000-coord!$D$2)^2)</f>
        <v>21327841.507859148</v>
      </c>
      <c r="Y123" s="3">
        <f>$D123-(X123-$W123)-coord!$E$2</f>
        <v>31.052032165229321</v>
      </c>
      <c r="Z123" s="3"/>
      <c r="AB123">
        <f>-(T123*1000-coord!$B$2)/$X123</f>
        <v>-0.17098126638317385</v>
      </c>
      <c r="AC123">
        <f>-(U123*1000-coord!$C$2)/$X123</f>
        <v>-0.59713145807960033</v>
      </c>
      <c r="AD123">
        <f>-(V123*1000-coord!$D$2)/$X123</f>
        <v>-0.78370952930998938</v>
      </c>
      <c r="AE123">
        <v>1</v>
      </c>
      <c r="AG123">
        <v>0.67748250040161295</v>
      </c>
      <c r="AH123">
        <v>-0.59713145807960033</v>
      </c>
      <c r="AI123">
        <v>0.74162071782604044</v>
      </c>
      <c r="AJ123">
        <v>0.36883098329657826</v>
      </c>
      <c r="AK123">
        <v>-0.90705908016511527</v>
      </c>
      <c r="AL123">
        <v>-0.23405648416949415</v>
      </c>
      <c r="AM123">
        <v>-0.25608269984303245</v>
      </c>
      <c r="AO123">
        <v>0.2872842586786058</v>
      </c>
      <c r="AP123">
        <v>2.4447030617776897</v>
      </c>
      <c r="AQ123">
        <v>-0.43332030897553708</v>
      </c>
      <c r="AR123">
        <v>-0.20639552073301054</v>
      </c>
      <c r="AT123">
        <v>0.15463327584394085</v>
      </c>
      <c r="AU123">
        <v>0.4947321624842238</v>
      </c>
      <c r="AV123">
        <v>0.44218790317077433</v>
      </c>
      <c r="AW123">
        <v>0.30178920237479395</v>
      </c>
      <c r="AY123">
        <v>-244.77157693836057</v>
      </c>
      <c r="BA123">
        <v>-92.153363006932253</v>
      </c>
      <c r="BD123">
        <f>SQRT(($T123*1000+coord!$B$7*$R123*$U123*1000-coord!$B$2-BA$122)^2+($U123*1000-coord!$B$7*$R123*$T123*1000-coord!$C$2-BA$123)^2+($V123*1000-coord!$D$2-BA$124)^2)</f>
        <v>21327865.346433919</v>
      </c>
      <c r="BE123" s="3">
        <f t="shared" ref="BE123:BE128" si="71">$D123-(BD123-$W123)-BA$125</f>
        <v>-1.5806057562531493</v>
      </c>
      <c r="BG123" s="1"/>
      <c r="BH123" s="1"/>
      <c r="BI123" s="1"/>
      <c r="BV123">
        <f>-SIN(RADIANS(BK122))*SIN(RADIANS(BL122))</f>
        <v>-0.14679061217640202</v>
      </c>
      <c r="BW123">
        <f>COS(RADIANS(BL122))</f>
        <v>0.97852712886340609</v>
      </c>
      <c r="BX123">
        <f>COS(RADIANS(BK122))*SIN(RADIANS(BL122))</f>
        <v>0.14469683567796596</v>
      </c>
      <c r="BZ123" t="s">
        <v>94</v>
      </c>
      <c r="CA123">
        <v>-0.20611806829664184</v>
      </c>
      <c r="CB123">
        <v>0.97852712886340598</v>
      </c>
      <c r="CC123">
        <v>2.8364646004110276E-17</v>
      </c>
      <c r="CD123">
        <v>0</v>
      </c>
      <c r="CE123" s="1">
        <v>-89.945600566774985</v>
      </c>
      <c r="CG123" s="1"/>
      <c r="CH123" s="1"/>
      <c r="CI123" s="1"/>
      <c r="CK123">
        <v>-0.38337880463317325</v>
      </c>
      <c r="CL123">
        <v>0.45223613040073674</v>
      </c>
      <c r="CM123">
        <v>9.4421971204708591E-2</v>
      </c>
      <c r="CN123">
        <v>-0.11627059327468764</v>
      </c>
      <c r="CP123">
        <v>-0.14679061217640196</v>
      </c>
      <c r="CQ123">
        <v>0.97852712886340598</v>
      </c>
      <c r="CR123">
        <v>0.1446968356779659</v>
      </c>
      <c r="CS123">
        <v>0</v>
      </c>
      <c r="CU123" s="5">
        <v>0.26706832934192265</v>
      </c>
      <c r="CV123" s="5">
        <v>0.52154662088619508</v>
      </c>
      <c r="CW123" s="5">
        <v>-0.13067503140493791</v>
      </c>
      <c r="CX123" s="5">
        <v>-0.11627059327468764</v>
      </c>
    </row>
    <row r="124" spans="1:111">
      <c r="A124">
        <v>34</v>
      </c>
      <c r="B124">
        <f t="shared" si="41"/>
        <v>0.53333333333333333</v>
      </c>
      <c r="C124">
        <v>10</v>
      </c>
      <c r="D124">
        <f>tetto!D124*coord!$B$13-tetto!G124*coord!$B$14</f>
        <v>22753999.908006012</v>
      </c>
      <c r="E124" s="5">
        <f>90-DEGREES(ACOS((coord!$B$2*($T124*1000-coord!$B$2)+coord!$C$2*($U124*1000-coord!$C$2)+coord!$D$2*($V124*1000-coord!$D$2))/(SQRT(coord!$B$2^2+coord!$C$2^2+coord!$D$2^2)*SQRT(($T124*1000-coord!$B$2)^2+($U124*1000-coord!$C$2)^2+($V124*1000-coord!$D$2)^2))))</f>
        <v>28.012971764058371</v>
      </c>
      <c r="F124">
        <f>(coord!$C$2*($V124*1000-coord!$D$2)-coord!$D$2*($U124*1000-coord!$C$2))/(SQRT(coord!$B$2^2+coord!$C$2^2+coord!$D$2^2)*SQRT(($T124*1000-coord!$B$2)^2+($U124*1000-coord!$C$2)^2+($V124*1000-coord!$D$2)^2))</f>
        <v>0.6206614650330291</v>
      </c>
      <c r="G124">
        <f>(-coord!$B$2*($V124*1000-coord!$D$2)+coord!$D$2*($T124*1000-coord!$B$2))/(SQRT(coord!$B$2^2+coord!$C$2^2+coord!$D$2^2)*SQRT(($T124*1000-coord!$B$2)^2+($U124*1000-coord!$C$2)^2+($V124*1000-coord!$D$2)^2))</f>
        <v>-0.32736541335990099</v>
      </c>
      <c r="H124">
        <f>(coord!$B$2*($U124*1000-coord!$C$2)-coord!$C$2*($T124*1000-coord!$B$2))/(SQRT(coord!$B$2^2+coord!$C$2^2+coord!$D$2^2)*SQRT(($T124*1000-coord!$B$2)^2+($U124*1000-coord!$C$2)^2+($V124*1000-coord!$D$2)^2))</f>
        <v>-0.53574243899257823</v>
      </c>
      <c r="I124">
        <f t="shared" si="67"/>
        <v>-0.76056101042729418</v>
      </c>
      <c r="J124">
        <f t="shared" si="68"/>
        <v>-0.44827353371392475</v>
      </c>
      <c r="K124">
        <f t="shared" si="69"/>
        <v>-2.5529137090038456E-3</v>
      </c>
      <c r="L124">
        <f t="shared" si="70"/>
        <v>-59.484965473431942</v>
      </c>
      <c r="M124" s="5">
        <f>'sv10'!$AA$3+'sv10'!$Z$3*($B124)+'sv10'!$Y$3*($B124)^2+'sv10'!$X$3*($B124)^3+'sv10'!$W$3*($B124)^4+'sv10'!$V$3*($B124)^5+'sv10'!$U$3*($B124)^6+'sv10'!$T$3*($B124)^7+'sv10'!$S$3*($B124)^8</f>
        <v>8235.9329963769214</v>
      </c>
      <c r="N124" s="5">
        <f>'sv10'!$AA$4+'sv10'!$Z$4*($B124)+'sv10'!$Y$4*($B124)^2+'sv10'!$X$4*($B124)^3+'sv10'!$W$4*($B124)^4+'sv10'!$V$4*($B124)^5+'sv10'!$U$4*($B124)^6+'sv10'!$T$4*($B124)^7+'sv10'!$S$4*($B124)^8</f>
        <v>-15940.551126075188</v>
      </c>
      <c r="O124" s="5">
        <f>'sv10'!$AA$5+'sv10'!$Z$5*($B124)+'sv10'!$Y$5*($B124)^2+'sv10'!$X$5*($B124)^3+'sv10'!$W$5*($B124)^4+'sv10'!$V$5*($B124)^5+'sv10'!$U$5*($B124)^6+'sv10'!$T$5*($B124)^7+'sv10'!$S$5*($B124)^8</f>
        <v>19281.902252263451</v>
      </c>
      <c r="P124" s="5">
        <f>'sv10'!$AA$6+'sv10'!$Z$6*$B124+'sv10'!$Y$6*$B124^2+'sv10'!$X$6*$B124^3+'sv10'!$W$6*$B124^4+'sv10'!$V$6*$B124^5+'sv10'!$U$6*$B124^6+'sv10'!$T$6*$B124^7+'sv10'!$S$6*$B124^8</f>
        <v>-43.001704685111896</v>
      </c>
      <c r="R124">
        <f>SQRT(($M124*1000-coord!$B$2)^2+($N124*1000-coord!$C$2)^2+($O124*1000-coord!$D$2)^2)/coord!$B$6</f>
        <v>7.5856176237950712E-2</v>
      </c>
      <c r="T124" s="5">
        <f>'sv10'!$AA$3+'sv10'!$Z$3*($B124-$R124/3600)+'sv10'!$Y$3*($B124-$R124/3600)^2+'sv10'!$X$3*($B124-$R124/3600)^3+'sv10'!$W$3*($B124-$R124/3600)^4+'sv10'!$V$3*($B124-$R124/3600)^5+'sv10'!$U$3*($B124-$R124/3600)^6+'sv10'!$T$3*($B124-$R124/3600)^7+'sv10'!$S$3*($B124-$R124/3600)^8+N124*coord!$B$7*R124</f>
        <v>8235.7615572978448</v>
      </c>
      <c r="U124" s="5">
        <f>'sv10'!$AA$4+'sv10'!$Z$4*($B124-$R124/3600)+'sv10'!$Y$4*($B124-$R124/3600)^2+'sv10'!$X$4*($B124-$R124/3600)^3+'sv10'!$W$4*($B124-$R124/3600)^4+'sv10'!$V$4*($B124-$R124/3600)^5+'sv10'!$U$4*($B124-$R124/3600)^6+'sv10'!$T$4*($B124-$R124/3600)^7+'sv10'!$S$4*($B124-$R124/3600)^8-M124*coord!$B$7*R124</f>
        <v>-15940.767649648447</v>
      </c>
      <c r="V124" s="5">
        <f>'sv10'!$AA$5+'sv10'!$Z$5*($B124-$R124/3600)+'sv10'!$Y$5*($B124-$R124/3600)^2+'sv10'!$X$5*($B124-$R124/3600)^3+'sv10'!$W$5*($B124-$R124/3600)^4+'sv10'!$V$5*($B124-$R124/3600)^5+'sv10'!$U$5*($B124-$R124/3600)^6+'sv10'!$T$5*($B124-$R124/3600)^7+'sv10'!$S$5*($B124-$R124/3600)^8</f>
        <v>19281.794894093851</v>
      </c>
      <c r="W124">
        <f>coord!$B$6*P124/10^6</f>
        <v>-12891.586745739811</v>
      </c>
      <c r="X124">
        <f>SQRT(($T124*1000+coord!$B$7*$R124*$U124*1000-coord!$B$2)^2+($U124*1000-coord!$B$7*$R124*$T124*1000-coord!$C$2)^2+($V124*1000-coord!$D$2)^2)</f>
        <v>22741190.284282878</v>
      </c>
      <c r="Y124" s="3">
        <f>$D124-(X124-$W124)-coord!$E$2</f>
        <v>-81.963022604584694</v>
      </c>
      <c r="Z124" s="3"/>
      <c r="AB124">
        <f>-(T124*1000-coord!$B$2)/$X124</f>
        <v>-0.16915928051297038</v>
      </c>
      <c r="AC124">
        <f>-(U124*1000-coord!$C$2)/$X124</f>
        <v>0.74162071782604044</v>
      </c>
      <c r="AD124">
        <f>-(V124*1000-coord!$D$2)/$X124</f>
        <v>-0.64913957604041772</v>
      </c>
      <c r="AE124">
        <v>1</v>
      </c>
      <c r="AG124">
        <v>-0.7150164738248328</v>
      </c>
      <c r="AH124">
        <v>-0.78370952930998938</v>
      </c>
      <c r="AI124">
        <v>-0.64913957604041772</v>
      </c>
      <c r="AJ124">
        <v>-0.3911223883027965</v>
      </c>
      <c r="AK124">
        <v>-1.4099067464946942E-3</v>
      </c>
      <c r="AL124">
        <v>-0.85288996992262711</v>
      </c>
      <c r="AM124">
        <v>-3.0784362067562035E-2</v>
      </c>
      <c r="AO124">
        <v>1.1253341480904446</v>
      </c>
      <c r="AP124">
        <v>-0.43332030897553708</v>
      </c>
      <c r="AQ124">
        <v>2.42817906156536</v>
      </c>
      <c r="AR124">
        <v>-3.4240722062147193</v>
      </c>
      <c r="AT124">
        <v>1.6411510688926363</v>
      </c>
      <c r="AU124">
        <v>0.44218790317077439</v>
      </c>
      <c r="AV124">
        <v>2.6100336818331651</v>
      </c>
      <c r="AW124">
        <v>2.0422651907539637</v>
      </c>
      <c r="AY124">
        <v>105.7926154478579</v>
      </c>
      <c r="BA124">
        <v>40.039168394374329</v>
      </c>
      <c r="BD124">
        <f>SQRT(($T124*1000+coord!$B$7*$R124*$U124*1000-coord!$B$2-BA$122)^2+($U124*1000-coord!$B$7*$R124*$T124*1000-coord!$C$2-BA$123)^2+($V124*1000-coord!$D$2-BA$124)^2)</f>
        <v>22741096.138178736</v>
      </c>
      <c r="BE124" s="3">
        <f t="shared" si="71"/>
        <v>3.3890183868406751</v>
      </c>
      <c r="BG124" s="1"/>
      <c r="BH124" s="1"/>
      <c r="BI124" s="1"/>
      <c r="BV124">
        <f>COS(RADIANS(BK122))</f>
        <v>0.70200946900841565</v>
      </c>
      <c r="BW124">
        <v>0</v>
      </c>
      <c r="BX124">
        <f>SIN(RADIANS(BK122))</f>
        <v>0.71216761048402244</v>
      </c>
      <c r="BZ124" t="s">
        <v>95</v>
      </c>
      <c r="CA124">
        <v>0.68693531014372899</v>
      </c>
      <c r="CB124">
        <v>0.1446968356779659</v>
      </c>
      <c r="CC124">
        <v>0.71216761048402244</v>
      </c>
      <c r="CD124">
        <v>0</v>
      </c>
      <c r="CE124" s="1">
        <v>14.417220449265876</v>
      </c>
      <c r="CG124" s="1"/>
      <c r="CH124" s="1"/>
      <c r="CI124" s="1"/>
      <c r="CK124">
        <v>2.9731310654639418</v>
      </c>
      <c r="CL124">
        <v>0.49272113810605356</v>
      </c>
      <c r="CM124">
        <v>3.0501292593403013</v>
      </c>
      <c r="CN124">
        <v>2.8697853430752005</v>
      </c>
      <c r="CP124">
        <v>0.70200946900841565</v>
      </c>
      <c r="CQ124">
        <v>2.8364646004110276E-17</v>
      </c>
      <c r="CR124">
        <v>0.71216761048402244</v>
      </c>
      <c r="CS124">
        <v>0</v>
      </c>
      <c r="CU124" s="5">
        <v>-3.0088996624915154E-3</v>
      </c>
      <c r="CV124" s="5">
        <v>-0.13067503140493789</v>
      </c>
      <c r="CW124" s="5">
        <v>4.2858471663998037</v>
      </c>
      <c r="CX124" s="5">
        <v>2.8697853430752005</v>
      </c>
    </row>
    <row r="125" spans="1:111">
      <c r="A125">
        <v>34</v>
      </c>
      <c r="B125">
        <f t="shared" si="41"/>
        <v>0.53333333333333333</v>
      </c>
      <c r="C125">
        <v>4</v>
      </c>
      <c r="D125">
        <f>tetto!D125*coord!$B$13-tetto!G125*coord!$B$14</f>
        <v>21213316.525766425</v>
      </c>
      <c r="E125" s="5">
        <f>90-DEGREES(ACOS((coord!$B$2*($T125*1000-coord!$B$2)+coord!$C$2*($U125*1000-coord!$C$2)+coord!$D$2*($V125*1000-coord!$D$2))/(SQRT(coord!$B$2^2+coord!$C$2^2+coord!$D$2^2)*SQRT(($T125*1000-coord!$B$2)^2+($U125*1000-coord!$C$2)^2+($V125*1000-coord!$D$2)^2))))</f>
        <v>53.635295107346593</v>
      </c>
      <c r="F125">
        <f>(coord!$C$2*($V125*1000-coord!$D$2)-coord!$D$2*($U125*1000-coord!$C$2))/(SQRT(coord!$B$2^2+coord!$C$2^2+coord!$D$2^2)*SQRT(($T125*1000-coord!$B$2)^2+($U125*1000-coord!$C$2)^2+($V125*1000-coord!$D$2)^2))</f>
        <v>0.31858938560989419</v>
      </c>
      <c r="G125">
        <f>(-coord!$B$2*($V125*1000-coord!$D$2)+coord!$D$2*($T125*1000-coord!$B$2))/(SQRT(coord!$B$2^2+coord!$C$2^2+coord!$D$2^2)*SQRT(($T125*1000-coord!$B$2)^2+($U125*1000-coord!$C$2)^2+($V125*1000-coord!$D$2)^2))</f>
        <v>0.32891431337597088</v>
      </c>
      <c r="H125">
        <f>(coord!$B$2*($U125*1000-coord!$C$2)-coord!$C$2*($T125*1000-coord!$B$2))/(SQRT(coord!$B$2^2+coord!$C$2^2+coord!$D$2^2)*SQRT(($T125*1000-coord!$B$2)^2+($U125*1000-coord!$C$2)^2+($V125*1000-coord!$D$2)^2))</f>
        <v>-0.37666138450588499</v>
      </c>
      <c r="I125">
        <f t="shared" si="67"/>
        <v>-0.53472120695436809</v>
      </c>
      <c r="J125">
        <f t="shared" si="68"/>
        <v>0.25617888798164168</v>
      </c>
      <c r="K125">
        <f t="shared" si="69"/>
        <v>-1.7969225135280875E-3</v>
      </c>
      <c r="L125">
        <f t="shared" si="70"/>
        <v>244.40144556959839</v>
      </c>
      <c r="M125" s="5">
        <f>'sv04'!$AA$3+'sv04'!$Z$3*($B125)+'sv04'!$Y$3*($B125)^2+'sv04'!$X$3*($B125)^3+'sv04'!$W$3*($B125)^4+'sv04'!$V$3*($B125)^5+'sv04'!$U$3*($B125)^6+'sv04'!$T$3*($B125)^7+'sv04'!$S$3*($B125)^8</f>
        <v>22298.013318218404</v>
      </c>
      <c r="N125" s="5">
        <f>'sv04'!$AA$4+'sv04'!$Z$4*($B125)+'sv04'!$Y$4*($B125)^2+'sv04'!$X$4*($B125)^3+'sv04'!$W$4*($B125)^4+'sv04'!$V$4*($B125)^5+'sv04'!$U$4*($B125)^6+'sv04'!$T$4*($B125)^7+'sv04'!$S$4*($B125)^8</f>
        <v>-6909.0007632349834</v>
      </c>
      <c r="O125" s="5">
        <f>'sv04'!$AA$5+'sv04'!$Z$5*($B125)+'sv04'!$Y$5*($B125)^2+'sv04'!$X$5*($B125)^3+'sv04'!$W$5*($B125)^4+'sv04'!$V$5*($B125)^5+'sv04'!$U$5*($B125)^6+'sv04'!$T$5*($B125)^7+'sv04'!$S$5*($B125)^8</f>
        <v>12826.584003484437</v>
      </c>
      <c r="P125" s="5">
        <f>'sv04'!$AA$6+'sv04'!$Z$6*$B125+'sv04'!$Y$6*$B125^2+'sv04'!$X$6*$B125^3+'sv04'!$W$6*$B125^4+'sv04'!$V$6*$B125^5+'sv04'!$U$6*$B125^6+'sv04'!$T$6*$B125^7+'sv04'!$S$6*$B125^8</f>
        <v>86.603237655008698</v>
      </c>
      <c r="R125">
        <f>SQRT(($M125*1000-coord!$B$2)^2+($N125*1000-coord!$C$2)^2+($O125*1000-coord!$D$2)^2)/coord!$B$6</f>
        <v>7.0846700036005864E-2</v>
      </c>
      <c r="T125" s="5">
        <f>'sv04'!$AA$3+'sv04'!$Z$3*($B125-$R125/3600)+'sv04'!$Y$3*($B125-$R125/3600)^2+'sv04'!$X$3*($B125-$R125/3600)^3+'sv04'!$W$3*($B125-$R125/3600)^4+'sv04'!$V$3*($B125-$R125/3600)^5+'sv04'!$U$3*($B125-$R125/3600)^6+'sv04'!$T$3*($B125-$R125/3600)^7+'sv04'!$S$3*($B125-$R125/3600)^8+N125*coord!$B$7*R125</f>
        <v>22297.863738524738</v>
      </c>
      <c r="U125" s="5">
        <f>'sv04'!$AA$4+'sv04'!$Z$4*($B125-$R125/3600)+'sv04'!$Y$4*($B125-$R125/3600)^2+'sv04'!$X$4*($B125-$R125/3600)^3+'sv04'!$W$4*($B125-$R125/3600)^4+'sv04'!$V$4*($B125-$R125/3600)^5+'sv04'!$U$4*($B125-$R125/3600)^6+'sv04'!$T$4*($B125-$R125/3600)^7+'sv04'!$S$4*($B125-$R125/3600)^8-M125*coord!$B$7*R125</f>
        <v>-6909.1474394654042</v>
      </c>
      <c r="V125" s="5">
        <f>'sv04'!$AA$5+'sv04'!$Z$5*($B125-$R125/3600)+'sv04'!$Y$5*($B125-$R125/3600)^2+'sv04'!$X$5*($B125-$R125/3600)^3+'sv04'!$W$5*($B125-$R125/3600)^4+'sv04'!$V$5*($B125-$R125/3600)^5+'sv04'!$U$5*($B125-$R125/3600)^6+'sv04'!$T$5*($B125-$R125/3600)^7+'sv04'!$S$5*($B125-$R125/3600)^8</f>
        <v>12826.76011278013</v>
      </c>
      <c r="W125">
        <f>coord!$B$6*P125/10^6</f>
        <v>25962.997487353216</v>
      </c>
      <c r="X125">
        <f>SQRT(($T125*1000+coord!$B$7*$R125*$U125*1000-coord!$B$2)^2+($U125*1000-coord!$B$7*$R125*$T125*1000-coord!$C$2)^2+($V125*1000-coord!$D$2)^2)</f>
        <v>21239315.587449674</v>
      </c>
      <c r="Y125" s="3">
        <f>$D125-(X125-$W125)-coord!$E$2</f>
        <v>-36.064195893704891</v>
      </c>
      <c r="Z125" s="3"/>
      <c r="AB125">
        <f>-(T125*1000-coord!$B$2)/$X125</f>
        <v>-0.84319974878602821</v>
      </c>
      <c r="AC125">
        <f>-(U125*1000-coord!$C$2)/$X125</f>
        <v>0.36883098329657826</v>
      </c>
      <c r="AD125">
        <f>-(V125*1000-coord!$D$2)/$X125</f>
        <v>-0.3911223883027965</v>
      </c>
      <c r="AE125">
        <v>1</v>
      </c>
      <c r="AG125">
        <v>1</v>
      </c>
      <c r="AH125">
        <v>1</v>
      </c>
      <c r="AI125">
        <v>1</v>
      </c>
      <c r="AJ125">
        <v>1</v>
      </c>
      <c r="AK125">
        <v>1</v>
      </c>
      <c r="AL125">
        <v>1</v>
      </c>
      <c r="AM125">
        <v>1</v>
      </c>
      <c r="AO125">
        <v>-3.2097270296061771</v>
      </c>
      <c r="AP125">
        <v>-0.20639552073301054</v>
      </c>
      <c r="AQ125">
        <v>-3.4240722062147193</v>
      </c>
      <c r="AR125">
        <v>7</v>
      </c>
      <c r="AT125">
        <v>1.9968143423706719</v>
      </c>
      <c r="AU125">
        <v>0.30178920237479417</v>
      </c>
      <c r="AV125">
        <v>2.0422651907539637</v>
      </c>
      <c r="AW125">
        <v>2.0663400549669464</v>
      </c>
      <c r="AY125">
        <v>-52.953012190759182</v>
      </c>
      <c r="BA125">
        <v>8.7940631506444475</v>
      </c>
      <c r="BD125">
        <f>SQRT(($T125*1000+coord!$B$7*$R125*$U125*1000-coord!$B$2-BA$122)^2+($U125*1000-coord!$B$7*$R125*$T125*1000-coord!$C$2-BA$123)^2+($V125*1000-coord!$D$2-BA$124)^2)</f>
        <v>21239266.874563079</v>
      </c>
      <c r="BE125" s="3">
        <f t="shared" si="71"/>
        <v>3.8546275498865583</v>
      </c>
      <c r="BG125" s="1"/>
      <c r="BH125" s="1"/>
      <c r="BI125" s="1"/>
      <c r="CA125">
        <v>0</v>
      </c>
      <c r="CB125">
        <v>0</v>
      </c>
      <c r="CC125">
        <v>0</v>
      </c>
      <c r="CD125">
        <v>1</v>
      </c>
      <c r="CG125" s="1"/>
      <c r="CH125" s="1"/>
      <c r="CI125" s="1"/>
      <c r="CK125">
        <v>1.9968143423706719</v>
      </c>
      <c r="CL125">
        <v>0.30178920237479417</v>
      </c>
      <c r="CM125">
        <v>2.0422651907539637</v>
      </c>
      <c r="CN125">
        <v>2.0663400549669464</v>
      </c>
      <c r="CP125">
        <v>0</v>
      </c>
      <c r="CQ125">
        <v>0</v>
      </c>
      <c r="CR125">
        <v>0</v>
      </c>
      <c r="CS125">
        <v>1</v>
      </c>
      <c r="CU125" s="5">
        <v>-2.1409677395023419E-3</v>
      </c>
      <c r="CV125" s="5">
        <v>-0.11627059327468731</v>
      </c>
      <c r="CW125" s="5">
        <v>2.8697853430752005</v>
      </c>
      <c r="CX125" s="5">
        <v>2.0663400549669464</v>
      </c>
    </row>
    <row r="126" spans="1:111">
      <c r="A126">
        <v>34</v>
      </c>
      <c r="B126">
        <f t="shared" si="41"/>
        <v>0.53333333333333333</v>
      </c>
      <c r="C126">
        <v>20</v>
      </c>
      <c r="D126">
        <f>tetto!D126*coord!$B$13-tetto!G126*coord!$B$14</f>
        <v>23219578.009830825</v>
      </c>
      <c r="E126" s="5">
        <f>90-DEGREES(ACOS((coord!$B$2*($T126*1000-coord!$B$2)+coord!$C$2*($U126*1000-coord!$C$2)+coord!$D$2*($V126*1000-coord!$D$2))/(SQRT(coord!$B$2^2+coord!$C$2^2+coord!$D$2^2)*SQRT(($T126*1000-coord!$B$2)^2+($U126*1000-coord!$C$2)^2+($V126*1000-coord!$D$2)^2))))</f>
        <v>25.017496056405548</v>
      </c>
      <c r="F126">
        <f>(coord!$C$2*($V126*1000-coord!$D$2)-coord!$D$2*($U126*1000-coord!$C$2))/(SQRT(coord!$B$2^2+coord!$C$2^2+coord!$D$2^2)*SQRT(($T126*1000-coord!$B$2)^2+($U126*1000-coord!$C$2)^2+($V126*1000-coord!$D$2)^2))</f>
        <v>-0.64362653559816208</v>
      </c>
      <c r="G126">
        <f>(-coord!$B$2*($V126*1000-coord!$D$2)+coord!$D$2*($T126*1000-coord!$B$2))/(SQRT(coord!$B$2^2+coord!$C$2^2+coord!$D$2^2)*SQRT(($T126*1000-coord!$B$2)^2+($U126*1000-coord!$C$2)^2+($V126*1000-coord!$D$2)^2))</f>
        <v>0.29785650443786899</v>
      </c>
      <c r="H126">
        <f>(coord!$B$2*($U126*1000-coord!$C$2)-coord!$C$2*($T126*1000-coord!$B$2))/(SQRT(coord!$B$2^2+coord!$C$2^2+coord!$D$2^2)*SQRT(($T126*1000-coord!$B$2)^2+($U126*1000-coord!$C$2)^2+($V126*1000-coord!$D$2)^2))</f>
        <v>0.56407996607127486</v>
      </c>
      <c r="I126">
        <f t="shared" si="67"/>
        <v>0.80078990194123278</v>
      </c>
      <c r="J126">
        <f t="shared" si="68"/>
        <v>0.42413220774347626</v>
      </c>
      <c r="K126">
        <f t="shared" si="69"/>
        <v>2.6881199014686108E-3</v>
      </c>
      <c r="L126">
        <f t="shared" si="70"/>
        <v>117.90758723902221</v>
      </c>
      <c r="M126" s="5">
        <f>'sv20'!$AA$3+'sv20'!$Z$3*($B126)+'sv20'!$Y$3*($B126)^2+'sv20'!$X$3*($B126)^3+'sv20'!$W$3*($B126)^4+'sv20'!$V$3*($B126)^5+'sv20'!$U$3*($B126)^6+'sv20'!$T$3*($B126)^7+'sv20'!$S$3*($B126)^8</f>
        <v>14171.267988428071</v>
      </c>
      <c r="N126" s="5">
        <f>'sv20'!$AA$4+'sv20'!$Z$4*($B126)+'sv20'!$Y$4*($B126)^2+'sv20'!$X$4*($B126)^3+'sv20'!$W$4*($B126)^4+'sv20'!$V$4*($B126)^5+'sv20'!$U$4*($B126)^6+'sv20'!$T$4*($B126)^7+'sv20'!$S$4*($B126)^8</f>
        <v>22001.324626889756</v>
      </c>
      <c r="O126" s="5">
        <f>'sv20'!$AA$5+'sv20'!$Z$5*($B126)+'sv20'!$Y$5*($B126)^2+'sv20'!$X$5*($B126)^3+'sv20'!$W$5*($B126)^4+'sv20'!$V$5*($B126)^5+'sv20'!$U$5*($B126)^6+'sv20'!$T$5*($B126)^7+'sv20'!$S$5*($B126)^8</f>
        <v>4552.1128940664421</v>
      </c>
      <c r="P126" s="5">
        <f>'sv20'!$AA$6+'sv20'!$Z$6*$B126+'sv20'!$Y$6*$B126^2+'sv20'!$X$6*$B126^3+'sv20'!$W$6*$B126^4+'sv20'!$V$6*$B126^5+'sv20'!$U$6*$B126^6+'sv20'!$T$6*$B126^7+'sv20'!$S$6*$B126^8</f>
        <v>55.817691434867058</v>
      </c>
      <c r="R126">
        <f>SQRT(($M126*1000-coord!$B$2)^2+($N126*1000-coord!$C$2)^2+($O126*1000-coord!$D$2)^2)/coord!$B$6</f>
        <v>7.7507964426636558E-2</v>
      </c>
      <c r="T126" s="5">
        <f>'sv20'!$AA$3+'sv20'!$Z$3*($B126-$R126/3600)+'sv20'!$Y$3*($B126-$R126/3600)^2+'sv20'!$X$3*($B126-$R126/3600)^3+'sv20'!$W$3*($B126-$R126/3600)^4+'sv20'!$V$3*($B126-$R126/3600)^5+'sv20'!$U$3*($B126-$R126/3600)^6+'sv20'!$T$3*($B126-$R126/3600)^7+'sv20'!$S$3*($B126-$R126/3600)^8+N126*coord!$B$7*R126</f>
        <v>14171.396622271308</v>
      </c>
      <c r="U126" s="5">
        <f>'sv20'!$AA$4+'sv20'!$Z$4*($B126-$R126/3600)+'sv20'!$Y$4*($B126-$R126/3600)^2+'sv20'!$X$4*($B126-$R126/3600)^3+'sv20'!$W$4*($B126-$R126/3600)^4+'sv20'!$V$4*($B126-$R126/3600)^5+'sv20'!$U$4*($B126-$R126/3600)^6+'sv20'!$T$4*($B126-$R126/3600)^7+'sv20'!$S$4*($B126-$R126/3600)^8-M126*coord!$B$7*R126</f>
        <v>22001.191339088025</v>
      </c>
      <c r="V126" s="5">
        <f>'sv20'!$AA$5+'sv20'!$Z$5*($B126-$R126/3600)+'sv20'!$Y$5*($B126-$R126/3600)^2+'sv20'!$X$5*($B126-$R126/3600)^3+'sv20'!$W$5*($B126-$R126/3600)^4+'sv20'!$V$5*($B126-$R126/3600)^5+'sv20'!$U$5*($B126-$R126/3600)^6+'sv20'!$T$5*($B126-$R126/3600)^7+'sv20'!$S$5*($B126-$R126/3600)^8</f>
        <v>4552.349172645555</v>
      </c>
      <c r="W126">
        <f>coord!$B$6*P126/10^6</f>
        <v>16733.722915144343</v>
      </c>
      <c r="X126">
        <f>SQRT(($T126*1000+coord!$B$7*$R126*$U126*1000-coord!$B$2)^2+($U126*1000-coord!$B$7*$R126*$T126*1000-coord!$C$2)^2+($V126*1000-coord!$D$2)^2)</f>
        <v>23236216.456872217</v>
      </c>
      <c r="Y126" s="3">
        <f>$D126-(X126-$W126)-coord!$E$2</f>
        <v>95.275873750448227</v>
      </c>
      <c r="Z126" s="3"/>
      <c r="AB126">
        <f>-(T126*1000-coord!$B$2)/$X126</f>
        <v>-0.4210030694811368</v>
      </c>
      <c r="AC126">
        <f>-(U126*1000-coord!$C$2)/$X126</f>
        <v>-0.90705908016511527</v>
      </c>
      <c r="AD126">
        <f>-(V126*1000-coord!$D$2)/$X126</f>
        <v>-1.4099067464946942E-3</v>
      </c>
      <c r="AE126">
        <v>1</v>
      </c>
      <c r="BD126">
        <f>SQRT(($T126*1000+coord!$B$7*$R126*$U126*1000-coord!$B$2-BA$122)^2+($U126*1000-coord!$B$7*$R126*$T126*1000-coord!$C$2-BA$123)^2+($V126*1000-coord!$D$2-BA$124)^2)</f>
        <v>23236300.456388131</v>
      </c>
      <c r="BE126" s="3">
        <f t="shared" si="71"/>
        <v>2.4822946863769033</v>
      </c>
      <c r="BG126" s="1"/>
      <c r="BH126" s="1"/>
      <c r="BI126" s="1"/>
      <c r="CG126" s="1"/>
      <c r="CH126" s="1"/>
      <c r="CI126" s="1"/>
    </row>
    <row r="127" spans="1:111">
      <c r="A127">
        <v>34</v>
      </c>
      <c r="B127">
        <f t="shared" si="41"/>
        <v>0.53333333333333333</v>
      </c>
      <c r="C127">
        <v>13</v>
      </c>
      <c r="D127">
        <f>tetto!D127*coord!$B$13-tetto!G127*coord!$B$14</f>
        <v>20178507.7349502</v>
      </c>
      <c r="E127" s="5">
        <f>90-DEGREES(ACOS((coord!$B$2*($T127*1000-coord!$B$2)+coord!$C$2*($U127*1000-coord!$C$2)+coord!$D$2*($V127*1000-coord!$D$2))/(SQRT(coord!$B$2^2+coord!$C$2^2+coord!$D$2^2)*SQRT(($T127*1000-coord!$B$2)^2+($U127*1000-coord!$C$2)^2+($V127*1000-coord!$D$2)^2))))</f>
        <v>73.95461061370581</v>
      </c>
      <c r="F127">
        <f>(coord!$C$2*($V127*1000-coord!$D$2)-coord!$D$2*($U127*1000-coord!$C$2))/(SQRT(coord!$B$2^2+coord!$C$2^2+coord!$D$2^2)*SQRT(($T127*1000-coord!$B$2)^2+($U127*1000-coord!$C$2)^2+($V127*1000-coord!$D$2)^2))</f>
        <v>-4.2290780714506288E-2</v>
      </c>
      <c r="G127">
        <f>(-coord!$B$2*($V127*1000-coord!$D$2)+coord!$D$2*($T127*1000-coord!$B$2))/(SQRT(coord!$B$2^2+coord!$C$2^2+coord!$D$2^2)*SQRT(($T127*1000-coord!$B$2)^2+($U127*1000-coord!$C$2)^2+($V127*1000-coord!$D$2)^2))</f>
        <v>-0.25661938851666954</v>
      </c>
      <c r="H127">
        <f>(coord!$B$2*($U127*1000-coord!$C$2)-coord!$C$2*($T127*1000-coord!$B$2))/(SQRT(coord!$B$2^2+coord!$C$2^2+coord!$D$2^2)*SQRT(($T127*1000-coord!$B$2)^2+($U127*1000-coord!$C$2)^2+($V127*1000-coord!$D$2)^2))</f>
        <v>9.3564214568105111E-2</v>
      </c>
      <c r="I127">
        <f t="shared" si="67"/>
        <v>0.13282626127127561</v>
      </c>
      <c r="J127">
        <f t="shared" si="68"/>
        <v>-0.24239073300145922</v>
      </c>
      <c r="K127">
        <f t="shared" si="69"/>
        <v>4.4700734712413426E-4</v>
      </c>
      <c r="L127">
        <f t="shared" si="70"/>
        <v>28.722039509069702</v>
      </c>
      <c r="M127" s="5">
        <f>'sv13'!$AA$3+'sv13'!$Z$3*($B127)+'sv13'!$Y$3*($B127)^2+'sv13'!$X$3*($B127)^3+'sv13'!$W$3*($B127)^4+'sv13'!$V$3*($B127)^5+'sv13'!$U$3*($B127)^6+'sv13'!$T$3*($B127)^7+'sv13'!$S$3*($B127)^8</f>
        <v>13848.336372420939</v>
      </c>
      <c r="N127" s="5">
        <f>'sv13'!$AA$4+'sv13'!$Z$4*($B127)+'sv13'!$Y$4*($B127)^2+'sv13'!$X$4*($B127)^3+'sv13'!$W$4*($B127)^4+'sv13'!$V$4*($B127)^5+'sv13'!$U$4*($B127)^6+'sv13'!$T$4*($B127)^7+'sv13'!$S$4*($B127)^8</f>
        <v>5669.0414712661614</v>
      </c>
      <c r="O127" s="5">
        <f>'sv13'!$AA$5+'sv13'!$Z$5*($B127)+'sv13'!$Y$5*($B127)^2+'sv13'!$X$5*($B127)^3+'sv13'!$W$5*($B127)^4+'sv13'!$V$5*($B127)^5+'sv13'!$U$5*($B127)^6+'sv13'!$T$5*($B127)^7+'sv13'!$S$5*($B127)^8</f>
        <v>21807.460751477844</v>
      </c>
      <c r="P127" s="5">
        <f>'sv13'!$AA$6+'sv13'!$Z$6*$B127+'sv13'!$Y$6*$B127^2+'sv13'!$X$6*$B127^3+'sv13'!$W$6*$B127^4+'sv13'!$V$6*$B127^5+'sv13'!$U$6*$B127^6+'sv13'!$T$6*$B127^7+'sv13'!$S$6*$B127^8</f>
        <v>304.21934969591661</v>
      </c>
      <c r="R127">
        <f>SQRT(($M127*1000-coord!$B$2)^2+($N127*1000-coord!$C$2)^2+($O127*1000-coord!$D$2)^2)/coord!$B$6</f>
        <v>6.7612536331114567E-2</v>
      </c>
      <c r="T127" s="5">
        <f>'sv13'!$AA$3+'sv13'!$Z$3*($B127-$R127/3600)+'sv13'!$Y$3*($B127-$R127/3600)^2+'sv13'!$X$3*($B127-$R127/3600)^3+'sv13'!$W$3*($B127-$R127/3600)^4+'sv13'!$V$3*($B127-$R127/3600)^5+'sv13'!$U$3*($B127-$R127/3600)^6+'sv13'!$T$3*($B127-$R127/3600)^7+'sv13'!$S$3*($B127-$R127/3600)^8+N127*coord!$B$7*R127</f>
        <v>13848.484873848489</v>
      </c>
      <c r="U127" s="5">
        <f>'sv13'!$AA$4+'sv13'!$Z$4*($B127-$R127/3600)+'sv13'!$Y$4*($B127-$R127/3600)^2+'sv13'!$X$4*($B127-$R127/3600)^3+'sv13'!$W$4*($B127-$R127/3600)^4+'sv13'!$V$4*($B127-$R127/3600)^5+'sv13'!$U$4*($B127-$R127/3600)^6+'sv13'!$T$4*($B127-$R127/3600)^7+'sv13'!$S$4*($B127-$R127/3600)^8-M127*coord!$B$7*R127</f>
        <v>5668.8277716660568</v>
      </c>
      <c r="V127" s="5">
        <f>'sv13'!$AA$5+'sv13'!$Z$5*($B127-$R127/3600)+'sv13'!$Y$5*($B127-$R127/3600)^2+'sv13'!$X$5*($B127-$R127/3600)^3+'sv13'!$W$5*($B127-$R127/3600)^4+'sv13'!$V$5*($B127-$R127/3600)^5+'sv13'!$U$5*($B127-$R127/3600)^6+'sv13'!$T$5*($B127-$R127/3600)^7+'sv13'!$S$5*($B127-$R127/3600)^8</f>
        <v>21807.42245117811</v>
      </c>
      <c r="W127">
        <f>coord!$B$6*P127/10^6</f>
        <v>91202.666616500399</v>
      </c>
      <c r="X127">
        <f>SQRT(($T127*1000+coord!$B$7*$R127*$U127*1000-coord!$B$2)^2+($U127*1000-coord!$B$7*$R127*$T127*1000-coord!$C$2)^2+($V127*1000-coord!$D$2)^2)</f>
        <v>20269712.139358886</v>
      </c>
      <c r="Y127" s="3">
        <f>$D127-(X127-$W127)-coord!$E$2</f>
        <v>-1.7377921864390373</v>
      </c>
      <c r="Z127" s="3"/>
      <c r="AB127">
        <f>-(T127*1000-coord!$B$2)/$X127</f>
        <v>-0.4666867806514241</v>
      </c>
      <c r="AC127">
        <f>-(U127*1000-coord!$C$2)/$X127</f>
        <v>-0.23405648416949415</v>
      </c>
      <c r="AD127">
        <f>-(V127*1000-coord!$D$2)/$X127</f>
        <v>-0.85288996992262711</v>
      </c>
      <c r="AE127">
        <v>1</v>
      </c>
      <c r="BD127">
        <f>SQRT(($T127*1000+coord!$B$7*$R127*$U127*1000-coord!$B$2-BA$122)^2+($U127*1000-coord!$B$7*$R127*$T127*1000-coord!$C$2-BA$123)^2+($V127*1000-coord!$D$2-BA$124)^2)</f>
        <v>20269700.077799</v>
      </c>
      <c r="BE127" s="3">
        <f t="shared" si="71"/>
        <v>1.5297045486567953</v>
      </c>
      <c r="BG127" s="1"/>
      <c r="BH127" s="1"/>
      <c r="BI127" s="1"/>
      <c r="CG127" s="1"/>
      <c r="CH127" s="1"/>
      <c r="CI127" s="1"/>
    </row>
    <row r="128" spans="1:111">
      <c r="A128">
        <v>34</v>
      </c>
      <c r="B128">
        <f t="shared" si="41"/>
        <v>0.53333333333333333</v>
      </c>
      <c r="C128">
        <v>7</v>
      </c>
      <c r="D128">
        <f>tetto!D128*coord!$B$13-tetto!G128*coord!$B$14</f>
        <v>21668976.668700732</v>
      </c>
      <c r="E128" s="5">
        <f>90-DEGREES(ACOS((coord!$B$2*($T128*1000-coord!$B$2)+coord!$C$2*($U128*1000-coord!$C$2)+coord!$D$2*($V128*1000-coord!$D$2))/(SQRT(coord!$B$2^2+coord!$C$2^2+coord!$D$2^2)*SQRT(($T128*1000-coord!$B$2)^2+($U128*1000-coord!$C$2)^2+($V128*1000-coord!$D$2)^2))))</f>
        <v>46.467723805399295</v>
      </c>
      <c r="F128">
        <f>(coord!$C$2*($V128*1000-coord!$D$2)-coord!$D$2*($U128*1000-coord!$C$2))/(SQRT(coord!$B$2^2+coord!$C$2^2+coord!$D$2^2)*SQRT(($T128*1000-coord!$B$2)^2+($U128*1000-coord!$C$2)^2+($V128*1000-coord!$D$2)^2))</f>
        <v>-0.17729784825263367</v>
      </c>
      <c r="G128">
        <f>(-coord!$B$2*($V128*1000-coord!$D$2)+coord!$D$2*($T128*1000-coord!$B$2))/(SQRT(coord!$B$2^2+coord!$C$2^2+coord!$D$2^2)*SQRT(($T128*1000-coord!$B$2)^2+($U128*1000-coord!$C$2)^2+($V128*1000-coord!$D$2)^2))</f>
        <v>0.66456614348472531</v>
      </c>
      <c r="H128">
        <f>(coord!$B$2*($U128*1000-coord!$C$2)-coord!$C$2*($T128*1000-coord!$B$2))/(SQRT(coord!$B$2^2+coord!$C$2^2+coord!$D$2^2)*SQRT(($T128*1000-coord!$B$2)^2+($U128*1000-coord!$C$2)^2+($V128*1000-coord!$D$2)^2))</f>
        <v>3.6220245080615172E-2</v>
      </c>
      <c r="I128">
        <f t="shared" si="67"/>
        <v>5.1422084050389158E-2</v>
      </c>
      <c r="J128">
        <f t="shared" si="68"/>
        <v>0.68684083491652947</v>
      </c>
      <c r="K128">
        <f t="shared" si="69"/>
        <v>1.7022912116602604E-4</v>
      </c>
      <c r="L128">
        <f t="shared" si="70"/>
        <v>175.71839366248867</v>
      </c>
      <c r="M128" s="5">
        <f>'sv07'!$AA$3+'sv07'!$Z$3*($B128)+'sv07'!$Y$3*($B128)^2+'sv07'!$X$3*($B128)^3+'sv07'!$W$3*($B128)^4+'sv07'!$V$3*($B128)^5+'sv07'!$U$3*($B128)^6+'sv07'!$T$3*($B128)^7+'sv07'!$S$3*($B128)^8</f>
        <v>25324.382329268872</v>
      </c>
      <c r="N128" s="5">
        <f>'sv07'!$AA$4+'sv07'!$Z$4*($B128)+'sv07'!$Y$4*($B128)^2+'sv07'!$X$4*($B128)^3+'sv07'!$W$4*($B128)^4+'sv07'!$V$4*($B128)^5+'sv07'!$U$4*($B128)^6+'sv07'!$T$4*($B128)^7+'sv07'!$S$4*($B128)^8</f>
        <v>6473.708555285476</v>
      </c>
      <c r="O128" s="5">
        <f>'sv07'!$AA$5+'sv07'!$Z$5*($B128)+'sv07'!$Y$5*($B128)^2+'sv07'!$X$5*($B128)^3+'sv07'!$W$5*($B128)^4+'sv07'!$V$5*($B128)^5+'sv07'!$U$5*($B128)^6+'sv07'!$T$5*($B128)^7+'sv07'!$S$5*($B128)^8</f>
        <v>5186.8710913214481</v>
      </c>
      <c r="P128" s="5">
        <f>'sv07'!$AA$6+'sv07'!$Z$6*$B128+'sv07'!$Y$6*$B128^2+'sv07'!$X$6*$B128^3+'sv07'!$W$6*$B128^4+'sv07'!$V$6*$B128^5+'sv07'!$U$6*$B128^6+'sv07'!$T$6*$B128^7+'sv07'!$S$6*$B128^8</f>
        <v>-0.637932107651066</v>
      </c>
      <c r="R128">
        <f>SQRT(($M128*1000-coord!$B$2)^2+($N128*1000-coord!$C$2)^2+($O128*1000-coord!$D$2)^2)/coord!$B$6</f>
        <v>7.2279078323978868E-2</v>
      </c>
      <c r="T128" s="5">
        <f>'sv07'!$AA$3+'sv07'!$Z$3*($B128-$R128/3600)+'sv07'!$Y$3*($B128-$R128/3600)^2+'sv07'!$X$3*($B128-$R128/3600)^3+'sv07'!$W$3*($B128-$R128/3600)^4+'sv07'!$V$3*($B128-$R128/3600)^5+'sv07'!$U$3*($B128-$R128/3600)^6+'sv07'!$T$3*($B128-$R128/3600)^7+'sv07'!$S$3*($B128-$R128/3600)^8+N128*coord!$B$7*R128</f>
        <v>25324.465441945278</v>
      </c>
      <c r="U128" s="5">
        <f>'sv07'!$AA$4+'sv07'!$Z$4*($B128-$R128/3600)+'sv07'!$Y$4*($B128-$R128/3600)^2+'sv07'!$X$4*($B128-$R128/3600)^3+'sv07'!$W$4*($B128-$R128/3600)^4+'sv07'!$V$4*($B128-$R128/3600)^5+'sv07'!$U$4*($B128-$R128/3600)^6+'sv07'!$T$4*($B128-$R128/3600)^7+'sv07'!$S$4*($B128-$R128/3600)^8-M128*coord!$B$7*R128</f>
        <v>6473.5642071541533</v>
      </c>
      <c r="V128" s="5">
        <f>'sv07'!$AA$5+'sv07'!$Z$5*($B128-$R128/3600)+'sv07'!$Y$5*($B128-$R128/3600)^2+'sv07'!$X$5*($B128-$R128/3600)^3+'sv07'!$W$5*($B128-$R128/3600)^4+'sv07'!$V$5*($B128-$R128/3600)^5+'sv07'!$U$5*($B128-$R128/3600)^6+'sv07'!$T$5*($B128-$R128/3600)^7+'sv07'!$S$5*($B128-$R128/3600)^8</f>
        <v>5186.6471592825401</v>
      </c>
      <c r="W128">
        <f>coord!$B$6*P128/10^6</f>
        <v>-191.24723458983368</v>
      </c>
      <c r="X128">
        <f>SQRT(($T128*1000+coord!$B$7*$R128*$U128*1000-coord!$B$2)^2+($U128*1000-coord!$B$7*$R128*$T128*1000-coord!$C$2)^2+($V128*1000-coord!$D$2)^2)</f>
        <v>21668757.777684491</v>
      </c>
      <c r="Y128" s="3">
        <f>$D128-(X128-$W128)-coord!$E$2</f>
        <v>27.643781650811434</v>
      </c>
      <c r="Z128" s="3" t="s">
        <v>127</v>
      </c>
      <c r="AA128" s="1" t="s">
        <v>128</v>
      </c>
      <c r="AB128">
        <f>-(T128*1000-coord!$B$2)/$X128</f>
        <v>-0.96616462678380821</v>
      </c>
      <c r="AC128">
        <f>-(U128*1000-coord!$C$2)/$X128</f>
        <v>-0.25608269984303245</v>
      </c>
      <c r="AD128">
        <f>-(V128*1000-coord!$D$2)/$X128</f>
        <v>-3.0784362067562035E-2</v>
      </c>
      <c r="AE128">
        <v>1</v>
      </c>
      <c r="BD128">
        <f>SQRT(($T128*1000+coord!$B$7*$R128*$U128*1000-coord!$B$2-BA$122)^2+($U128*1000-coord!$B$7*$R128*$T128*1000-coord!$C$2-BA$123)^2+($V128*1000-coord!$D$2-BA$124)^2)</f>
        <v>21668781.216899429</v>
      </c>
      <c r="BE128" s="3">
        <f t="shared" si="71"/>
        <v>-4.5894964372219107</v>
      </c>
      <c r="BF128" s="3" t="s">
        <v>127</v>
      </c>
      <c r="BG128" s="1" t="s">
        <v>128</v>
      </c>
      <c r="BH128" s="1"/>
      <c r="BI128" s="1"/>
      <c r="CG128" s="1"/>
      <c r="CH128" s="1"/>
      <c r="CI128" s="1"/>
    </row>
    <row r="129" spans="1:111">
      <c r="Y129" s="3"/>
      <c r="Z129" s="3">
        <f>AVERAGE($Y122:$Y128)</f>
        <v>-7.5647160272513121</v>
      </c>
      <c r="AA129" s="1">
        <f>SQRT(DEVSQ($Y122:$Y128)/6)</f>
        <v>65.8580792377184</v>
      </c>
      <c r="BE129" s="3"/>
      <c r="BF129" s="3">
        <f>AVERAGE($BE122:$BE128)</f>
        <v>1.7695791366228214E-4</v>
      </c>
      <c r="BG129" s="1">
        <f>SQRT(DEVSQ($BE122:$BE128)/6)</f>
        <v>3.7473840634721292</v>
      </c>
      <c r="BH129" s="1"/>
      <c r="BI129" s="1"/>
      <c r="CG129" s="1"/>
      <c r="CH129" s="1"/>
      <c r="CI129" s="1"/>
    </row>
    <row r="130" spans="1:111">
      <c r="A130">
        <v>36</v>
      </c>
      <c r="B130">
        <f t="shared" si="41"/>
        <v>0.55000000000000004</v>
      </c>
      <c r="C130">
        <v>2</v>
      </c>
      <c r="D130">
        <f>tetto!D130*coord!$B$13-tetto!G130*coord!$B$14</f>
        <v>22451510.390850149</v>
      </c>
      <c r="E130" s="5">
        <f>90-DEGREES(ACOS((coord!$B$2*($T130*1000-coord!$B$2)+coord!$C$2*($U130*1000-coord!$C$2)+coord!$D$2*($V130*1000-coord!$D$2))/(SQRT(coord!$B$2^2+coord!$C$2^2+coord!$D$2^2)*SQRT(($T130*1000-coord!$B$2)^2+($U130*1000-coord!$C$2)^2+($V130*1000-coord!$D$2)^2))))</f>
        <v>32.137526737048816</v>
      </c>
      <c r="F130">
        <f>(coord!$C$2*($V130*1000-coord!$D$2)-coord!$D$2*($U130*1000-coord!$C$2))/(SQRT(coord!$B$2^2+coord!$C$2^2+coord!$D$2^2)*SQRT(($T130*1000-coord!$B$2)^2+($U130*1000-coord!$C$2)^2+($V130*1000-coord!$D$2)^2))</f>
        <v>0.58430277784201301</v>
      </c>
      <c r="G130">
        <f>(-coord!$B$2*($V130*1000-coord!$D$2)+coord!$D$2*($T130*1000-coord!$B$2))/(SQRT(coord!$B$2^2+coord!$C$2^2+coord!$D$2^2)*SQRT(($T130*1000-coord!$B$2)^2+($U130*1000-coord!$C$2)^2+($V130*1000-coord!$D$2)^2))</f>
        <v>-0.36424529658205496</v>
      </c>
      <c r="H130">
        <f>(coord!$B$2*($U130*1000-coord!$C$2)-coord!$C$2*($T130*1000-coord!$B$2))/(SQRT(coord!$B$2^2+coord!$C$2^2+coord!$D$2^2)*SQRT(($T130*1000-coord!$B$2)^2+($U130*1000-coord!$C$2)^2+($V130*1000-coord!$D$2)^2))</f>
        <v>-0.49289077236480555</v>
      </c>
      <c r="I130">
        <f t="shared" ref="I130:I136" si="72">$F130*$CA$2+$G130*$CB$2+$H130*$CC$2</f>
        <v>-0.69972733699620482</v>
      </c>
      <c r="J130">
        <f t="shared" ref="J130:J136" si="73">$F130*$CA$3+$G130*$CB$3+$H130*$CC$3</f>
        <v>-0.47686667343871642</v>
      </c>
      <c r="K130">
        <f t="shared" ref="K130:K136" si="74">$F130*$CA$4+$G130*$CB$4+$H130*$CC$4</f>
        <v>-2.3484850667827017E-3</v>
      </c>
      <c r="L130">
        <f t="shared" ref="L130:L136" si="75">90+DEGREES(ATAN2(I130,J130))</f>
        <v>-55.72543052035806</v>
      </c>
      <c r="M130" s="5">
        <f>'sv02'!$AA$3+'sv02'!$Z$3*($B130)+'sv02'!$Y$3*($B130)^2+'sv02'!$X$3*($B130)^3+'sv02'!$W$3*($B130)^4+'sv02'!$V$3*($B130)^5+'sv02'!$U$3*($B130)^6+'sv02'!$T$3*($B130)^7+'sv02'!$S$3*($B130)^8</f>
        <v>8437.3348039536068</v>
      </c>
      <c r="N130" s="5">
        <f>'sv02'!$AA$4+'sv02'!$Z$4*($B130)+'sv02'!$Y$4*($B130)^2+'sv02'!$X$4*($B130)^3+'sv02'!$W$4*($B130)^4+'sv02'!$V$4*($B130)^5+'sv02'!$U$4*($B130)^6+'sv02'!$T$4*($B130)^7+'sv02'!$S$4*($B130)^8</f>
        <v>-14332.634383711082</v>
      </c>
      <c r="O130" s="5">
        <f>'sv02'!$AA$5+'sv02'!$Z$5*($B130)+'sv02'!$Y$5*($B130)^2+'sv02'!$X$5*($B130)^3+'sv02'!$W$5*($B130)^4+'sv02'!$V$5*($B130)^5+'sv02'!$U$5*($B130)^6+'sv02'!$T$5*($B130)^7+'sv02'!$S$5*($B130)^8</f>
        <v>20593.581803381185</v>
      </c>
      <c r="P130" s="5">
        <f>'sv02'!$AA$6+'sv02'!$Z$6*$B130+'sv02'!$Y$6*$B130^2+'sv02'!$X$6*$B130^3+'sv02'!$W$6*$B130^4+'sv02'!$V$6*$B130^5+'sv02'!$U$6*$B130^6+'sv02'!$T$6*$B130^7+'sv02'!$S$6*$B130^8</f>
        <v>257.59326741148988</v>
      </c>
      <c r="R130">
        <f>SQRT(($M130*1000-coord!$B$2)^2+($N130*1000-coord!$C$2)^2+($O130*1000-coord!$D$2)^2)/coord!$B$6</f>
        <v>7.5147893990045345E-2</v>
      </c>
      <c r="T130" s="5">
        <f>'sv02'!$AA$3+'sv02'!$Z$3*($B130-$R130/3600)+'sv02'!$Y$3*($B130-$R130/3600)^2+'sv02'!$X$3*($B130-$R130/3600)^3+'sv02'!$W$3*($B130-$R130/3600)^4+'sv02'!$V$3*($B130-$R130/3600)^5+'sv02'!$U$3*($B130-$R130/3600)^6+'sv02'!$T$3*($B130-$R130/3600)^7+'sv02'!$S$3*($B130-$R130/3600)^8+N130*coord!$B$7*R130</f>
        <v>8437.0596252938722</v>
      </c>
      <c r="U130" s="5">
        <f>'sv02'!$AA$4+'sv02'!$Z$4*($B130-$R130/3600)+'sv02'!$Y$4*($B130-$R130/3600)^2+'sv02'!$X$4*($B130-$R130/3600)^3+'sv02'!$W$4*($B130-$R130/3600)^4+'sv02'!$V$4*($B130-$R130/3600)^5+'sv02'!$U$4*($B130-$R130/3600)^6+'sv02'!$T$4*($B130-$R130/3600)^7+'sv02'!$S$4*($B130-$R130/3600)^8-M130*coord!$B$7*R130</f>
        <v>-14332.707377549354</v>
      </c>
      <c r="V130" s="5">
        <f>'sv02'!$AA$5+'sv02'!$Z$5*($B130-$R130/3600)+'sv02'!$Y$5*($B130-$R130/3600)^2+'sv02'!$X$5*($B130-$R130/3600)^3+'sv02'!$W$5*($B130-$R130/3600)^4+'sv02'!$V$5*($B130-$R130/3600)^5+'sv02'!$U$5*($B130-$R130/3600)^6+'sv02'!$T$5*($B130-$R130/3600)^7+'sv02'!$S$5*($B130-$R130/3600)^8</f>
        <v>20593.647101034585</v>
      </c>
      <c r="W130">
        <f>coord!$B$6*P130/10^6</f>
        <v>77224.518801541853</v>
      </c>
      <c r="X130">
        <f>SQRT(($T130*1000+coord!$B$7*$R130*$U130*1000-coord!$B$2)^2+($U130*1000-coord!$B$7*$R130*$T130*1000-coord!$C$2)^2+($V130*1000-coord!$D$2)^2)</f>
        <v>22528835.625784855</v>
      </c>
      <c r="Y130" s="3">
        <f>$D130-(X130-$W130)-coord!$E$2</f>
        <v>-100.71613316610456</v>
      </c>
      <c r="Z130" s="3"/>
      <c r="AB130">
        <f>-(T130*1000-coord!$B$2)/$X130</f>
        <v>-0.17968888946309408</v>
      </c>
      <c r="AC130">
        <f>-(U130*1000-coord!$C$2)/$X130</f>
        <v>0.67723329532783272</v>
      </c>
      <c r="AD130">
        <f>-(V130*1000-coord!$D$2)/$X130</f>
        <v>-0.71348821988551392</v>
      </c>
      <c r="AE130">
        <v>1</v>
      </c>
      <c r="AG130">
        <f t="array" ref="AG130:AM133">TRANSPOSE(AB130:AE136)</f>
        <v>-0.17968888946309408</v>
      </c>
      <c r="AH130">
        <v>-0.16608141441694019</v>
      </c>
      <c r="AI130">
        <v>-0.17232795868070333</v>
      </c>
      <c r="AJ130">
        <v>-0.84718312046930655</v>
      </c>
      <c r="AK130">
        <v>-0.42020371004447266</v>
      </c>
      <c r="AL130">
        <v>-0.46120292716204314</v>
      </c>
      <c r="AM130">
        <v>-0.96564272745079527</v>
      </c>
      <c r="AO130">
        <f t="array" ref="AO130:AR133">MMULT(AG130:AM133,AB130:AE136)</f>
        <v>2.129032473198968</v>
      </c>
      <c r="AP130">
        <v>0.28035895069980754</v>
      </c>
      <c r="AQ130">
        <v>1.1249830119340829</v>
      </c>
      <c r="AR130">
        <v>-3.2123307476873553</v>
      </c>
      <c r="AT130">
        <f t="array" ref="AT130:AW133">MINVERSE(AO130:AR133)</f>
        <v>2.6019427951166412</v>
      </c>
      <c r="AU130">
        <v>0.17538513764250557</v>
      </c>
      <c r="AV130">
        <v>1.6554384640460851</v>
      </c>
      <c r="AW130">
        <v>2.0082401699655783</v>
      </c>
      <c r="AY130">
        <f t="array" ref="AY130:AY133">MMULT(AG130:AM133,Y130:Y136)</f>
        <v>-14.964495867232934</v>
      </c>
      <c r="BA130">
        <f t="array" ref="BA130:BA133">MMULT(AT130:AW133,AY130:AY133)</f>
        <v>-2.2351144734982142</v>
      </c>
      <c r="BD130">
        <f>SQRT(($T130*1000+coord!$B$7*$R130*$U130*1000-coord!$B$2-BA$130)^2+($U130*1000-coord!$B$7*$R130*$T130*1000-coord!$C$2-BA$131)^2+($V130*1000-coord!$D$2-BA$132)^2)</f>
        <v>22528729.911229249</v>
      </c>
      <c r="BE130" s="3">
        <f>$D130-(BD130-$W130)-BA$133</f>
        <v>-5.1780772524575553</v>
      </c>
      <c r="BG130" s="1">
        <f>coord!$B$2+$BA130</f>
        <v>4388875.9356855266</v>
      </c>
      <c r="BH130" s="1">
        <f>coord!$C$2+$BA131</f>
        <v>924462.784778103</v>
      </c>
      <c r="BI130" s="1">
        <f>coord!$D$2+$BA132</f>
        <v>4519635.0331731336</v>
      </c>
      <c r="BJ130" s="1">
        <f>coord!$E$2+$BA133</f>
        <v>10.176499692598995</v>
      </c>
      <c r="BK130" s="8">
        <f>lat($BG130,$BH130,$BI130)</f>
        <v>45.411622530097809</v>
      </c>
      <c r="BL130" s="8">
        <f>lon($BG130,$BH130,$BI130)</f>
        <v>11.894769551275299</v>
      </c>
      <c r="BM130" s="6">
        <f>h($BG130,$BH130,$BI130)</f>
        <v>78.340652875602245</v>
      </c>
      <c r="BO130">
        <f>grado($BK130)</f>
        <v>45</v>
      </c>
      <c r="BP130">
        <f>MINUTOprimo($BK130)</f>
        <v>24</v>
      </c>
      <c r="BQ130">
        <f>MINUTOsecondo($BK130)</f>
        <v>41.841108352111291</v>
      </c>
      <c r="BR130">
        <f>grado($BL130)</f>
        <v>11</v>
      </c>
      <c r="BS130">
        <f>MINUTOprimo($BL130)</f>
        <v>53</v>
      </c>
      <c r="BT130">
        <f>MINUTOsecondo($BL130)</f>
        <v>41.170384591077607</v>
      </c>
      <c r="BV130">
        <f>-SIN(RADIANS(BK130))*COS(RADIANS(BL130))</f>
        <v>-0.6968766440245312</v>
      </c>
      <c r="BW130">
        <f>-SIN(RADIANS(BL130))</f>
        <v>-0.20611485786956191</v>
      </c>
      <c r="BX130">
        <f>COS(RADIANS(BK130))*COS(RADIANS(BL130))</f>
        <v>0.68693493751484003</v>
      </c>
      <c r="BZ130" t="s">
        <v>93</v>
      </c>
      <c r="CA130">
        <f t="array" ref="CA130:CC132">MINVERSE(BV130:BX132)</f>
        <v>-0.69687664402453131</v>
      </c>
      <c r="CB130">
        <v>-0.1467885017535967</v>
      </c>
      <c r="CC130">
        <v>0.70200860305700041</v>
      </c>
      <c r="CD130">
        <v>0</v>
      </c>
      <c r="CE130" s="1">
        <f t="array" ref="CE130:CE132">MMULT(CA130:CC132,BA130:BA132)</f>
        <v>50.151987378637102</v>
      </c>
      <c r="CG130" s="1">
        <f t="array" ref="CG130:CI130">TRANSPOSE(CE130:CE132)</f>
        <v>50.151987378637102</v>
      </c>
      <c r="CH130" s="1">
        <v>-104.66100758288833</v>
      </c>
      <c r="CI130" s="1">
        <v>16.2205252217415</v>
      </c>
      <c r="CK130">
        <f t="array" ref="CK130:CN133">MMULT(CA130:CD133,AT130:AW133)</f>
        <v>-0.67684564099726607</v>
      </c>
      <c r="CL130">
        <v>0.12546021792421666</v>
      </c>
      <c r="CM130">
        <v>0.62122149852132957</v>
      </c>
      <c r="CN130">
        <v>-3.1479253724313594E-3</v>
      </c>
      <c r="CP130">
        <f t="array" ref="CP130:CS133">TRANSPOSE(CA130:CD133)</f>
        <v>-0.69687664402453131</v>
      </c>
      <c r="CQ130">
        <v>-0.20611485786956191</v>
      </c>
      <c r="CR130">
        <v>0.68693493751484003</v>
      </c>
      <c r="CS130">
        <v>0</v>
      </c>
      <c r="CU130" s="5">
        <f t="array" ref="CU130:CX133">MMULT(CK130:CN133,CP130:CS133)</f>
        <v>0.88936463776796693</v>
      </c>
      <c r="CV130" s="5">
        <v>0.26227425476727823</v>
      </c>
      <c r="CW130" s="5">
        <v>-4.3811662602538659E-3</v>
      </c>
      <c r="CX130" s="5">
        <v>-3.1479253724313594E-3</v>
      </c>
      <c r="CZ130" s="3">
        <f>SQRT(CU130+CV131)</f>
        <v>1.1856317830164478</v>
      </c>
      <c r="DA130" s="3">
        <f>CW132</f>
        <v>4.317721036082153</v>
      </c>
      <c r="DB130" s="3">
        <f>CX133</f>
        <v>2.0788986629311981</v>
      </c>
      <c r="DC130" s="3">
        <f>BG137</f>
        <v>3.8832434548324191</v>
      </c>
      <c r="DD130">
        <v>6</v>
      </c>
      <c r="DE130" s="6">
        <f>DB130*DD130*DC130</f>
        <v>48.437217756524653</v>
      </c>
      <c r="DF130">
        <v>5.33</v>
      </c>
      <c r="DG130" s="6">
        <f>DC130*DF130*SQRT(0.5*(CU130+CV131)+SQRT((0.5*(CU130-CV131))^2+CV130^2))</f>
        <v>20.951604221912419</v>
      </c>
    </row>
    <row r="131" spans="1:111">
      <c r="A131">
        <v>36</v>
      </c>
      <c r="B131">
        <f t="shared" si="41"/>
        <v>0.55000000000000004</v>
      </c>
      <c r="C131">
        <v>23</v>
      </c>
      <c r="D131">
        <f>tetto!D131*coord!$B$13-tetto!G131*coord!$B$14</f>
        <v>21240133.381958783</v>
      </c>
      <c r="E131" s="5">
        <f>90-DEGREES(ACOS((coord!$B$2*($T131*1000-coord!$B$2)+coord!$C$2*($U131*1000-coord!$C$2)+coord!$D$2*($V131*1000-coord!$D$2))/(SQRT(coord!$B$2^2+coord!$C$2^2+coord!$D$2^2)*SQRT(($T131*1000-coord!$B$2)^2+($U131*1000-coord!$C$2)^2+($V131*1000-coord!$D$2)^2))))</f>
        <v>49.120508263852258</v>
      </c>
      <c r="F131">
        <f>(coord!$C$2*($V131*1000-coord!$D$2)-coord!$D$2*($U131*1000-coord!$C$2))/(SQRT(coord!$B$2^2+coord!$C$2^2+coord!$D$2^2)*SQRT(($T131*1000-coord!$B$2)^2+($U131*1000-coord!$C$2)^2+($V131*1000-coord!$D$2)^2))</f>
        <v>-0.31425691289981578</v>
      </c>
      <c r="G131">
        <f>(-coord!$B$2*($V131*1000-coord!$D$2)+coord!$D$2*($T131*1000-coord!$B$2))/(SQRT(coord!$B$2^2+coord!$C$2^2+coord!$D$2^2)*SQRT(($T131*1000-coord!$B$2)^2+($U131*1000-coord!$C$2)^2+($V131*1000-coord!$D$2)^2))</f>
        <v>-0.42022432514715558</v>
      </c>
      <c r="H131">
        <f>(coord!$B$2*($U131*1000-coord!$C$2)-coord!$C$2*($T131*1000-coord!$B$2))/(SQRT(coord!$B$2^2+coord!$C$2^2+coord!$D$2^2)*SQRT(($T131*1000-coord!$B$2)^2+($U131*1000-coord!$C$2)^2+($V131*1000-coord!$D$2)^2))</f>
        <v>0.39113345987603787</v>
      </c>
      <c r="I131">
        <f t="shared" si="72"/>
        <v>0.55526595924532995</v>
      </c>
      <c r="J131">
        <f t="shared" si="73"/>
        <v>-0.34642099501291845</v>
      </c>
      <c r="K131">
        <f t="shared" si="74"/>
        <v>1.8662537148034231E-3</v>
      </c>
      <c r="L131">
        <f t="shared" si="75"/>
        <v>58.040661737654659</v>
      </c>
      <c r="M131" s="5">
        <f>'sv23'!$AA$3+'sv23'!$Z$3*($B131)+'sv23'!$Y$3*($B131)^2+'sv23'!$X$3*($B131)^3+'sv23'!$W$3*($B131)^4+'sv23'!$V$3*($B131)^5+'sv23'!$U$3*($B131)^6+'sv23'!$T$3*($B131)^7+'sv23'!$S$3*($B131)^8</f>
        <v>7934.6978312817491</v>
      </c>
      <c r="N131" s="5">
        <f>'sv23'!$AA$4+'sv23'!$Z$4*($B131)+'sv23'!$Y$4*($B131)^2+'sv23'!$X$4*($B131)^3+'sv23'!$W$4*($B131)^4+'sv23'!$V$4*($B131)^5+'sv23'!$U$4*($B131)^6+'sv23'!$T$4*($B131)^7+'sv23'!$S$4*($B131)^8</f>
        <v>13787.588847810193</v>
      </c>
      <c r="O131" s="5">
        <f>'sv23'!$AA$5+'sv23'!$Z$5*($B131)+'sv23'!$Y$5*($B131)^2+'sv23'!$X$5*($B131)^3+'sv23'!$W$5*($B131)^4+'sv23'!$V$5*($B131)^5+'sv23'!$U$5*($B131)^6+'sv23'!$T$5*($B131)^7+'sv23'!$S$5*($B131)^8</f>
        <v>21188.090359019698</v>
      </c>
      <c r="P131" s="5">
        <f>'sv23'!$AA$6+'sv23'!$Z$6*$B131+'sv23'!$Y$6*$B131^2+'sv23'!$X$6*$B131^3+'sv23'!$W$6*$B131^4+'sv23'!$V$6*$B131^5+'sv23'!$U$6*$B131^6+'sv23'!$T$6*$B131^7+'sv23'!$S$6*$B131^8</f>
        <v>370.05609803585355</v>
      </c>
      <c r="R131">
        <f>SQRT(($M131*1000-coord!$B$2)^2+($N131*1000-coord!$C$2)^2+($O131*1000-coord!$D$2)^2)/coord!$B$6</f>
        <v>7.1219570409284561E-2</v>
      </c>
      <c r="T131" s="5">
        <f>'sv23'!$AA$3+'sv23'!$Z$3*($B131-$R131/3600)+'sv23'!$Y$3*($B131-$R131/3600)^2+'sv23'!$X$3*($B131-$R131/3600)^3+'sv23'!$W$3*($B131-$R131/3600)^4+'sv23'!$V$3*($B131-$R131/3600)^5+'sv23'!$U$3*($B131-$R131/3600)^6+'sv23'!$T$3*($B131-$R131/3600)^7+'sv23'!$S$3*($B131-$R131/3600)^8+N131*coord!$B$7*R131</f>
        <v>7934.8885215474929</v>
      </c>
      <c r="U131" s="5">
        <f>'sv23'!$AA$4+'sv23'!$Z$4*($B131-$R131/3600)+'sv23'!$Y$4*($B131-$R131/3600)^2+'sv23'!$X$4*($B131-$R131/3600)^3+'sv23'!$W$4*($B131-$R131/3600)^4+'sv23'!$V$4*($B131-$R131/3600)^5+'sv23'!$U$4*($B131-$R131/3600)^6+'sv23'!$T$4*($B131-$R131/3600)^7+'sv23'!$S$4*($B131-$R131/3600)^8-M131*coord!$B$7*R131</f>
        <v>13787.396485258052</v>
      </c>
      <c r="V131" s="5">
        <f>'sv23'!$AA$5+'sv23'!$Z$5*($B131-$R131/3600)+'sv23'!$Y$5*($B131-$R131/3600)^2+'sv23'!$X$5*($B131-$R131/3600)^3+'sv23'!$W$5*($B131-$R131/3600)^4+'sv23'!$V$5*($B131-$R131/3600)^5+'sv23'!$U$5*($B131-$R131/3600)^6+'sv23'!$T$5*($B131-$R131/3600)^7+'sv23'!$S$5*($B131-$R131/3600)^8</f>
        <v>21188.14625873751</v>
      </c>
      <c r="W131">
        <f>coord!$B$6*P131/10^6</f>
        <v>110940.02722805752</v>
      </c>
      <c r="X131">
        <f>SQRT(($T131*1000+coord!$B$7*$R131*$U131*1000-coord!$B$2)^2+($U131*1000-coord!$B$7*$R131*$T131*1000-coord!$C$2)^2+($V131*1000-coord!$D$2)^2)</f>
        <v>21351036.557560783</v>
      </c>
      <c r="Y131" s="3">
        <f>$D131-(X131-$W131)-coord!$E$2</f>
        <v>36.851626057177782</v>
      </c>
      <c r="Z131" s="3"/>
      <c r="AB131">
        <f>-(T131*1000-coord!$B$2)/$X131</f>
        <v>-0.16608141441694019</v>
      </c>
      <c r="AC131">
        <f>-(U131*1000-coord!$C$2)/$X131</f>
        <v>-0.60244504932492826</v>
      </c>
      <c r="AD131">
        <f>-(V131*1000-coord!$D$2)/$X131</f>
        <v>-0.7806908081254198</v>
      </c>
      <c r="AE131">
        <v>1</v>
      </c>
      <c r="AG131">
        <v>0.67723329532783272</v>
      </c>
      <c r="AH131">
        <v>-0.60244504932492826</v>
      </c>
      <c r="AI131">
        <v>0.73676658695583663</v>
      </c>
      <c r="AJ131">
        <v>0.36735506031213</v>
      </c>
      <c r="AK131">
        <v>-0.90740777489076441</v>
      </c>
      <c r="AL131">
        <v>-0.24032632015526986</v>
      </c>
      <c r="AM131">
        <v>-0.25686777200385053</v>
      </c>
      <c r="AO131">
        <v>0.28035895069980754</v>
      </c>
      <c r="AP131">
        <v>2.4464863801339951</v>
      </c>
      <c r="AQ131">
        <v>-0.42605728323748404</v>
      </c>
      <c r="AR131">
        <v>-0.22569197377901376</v>
      </c>
      <c r="AT131">
        <v>0.1753851376425058</v>
      </c>
      <c r="AU131">
        <v>0.49770980063589515</v>
      </c>
      <c r="AV131">
        <v>0.45688913013746629</v>
      </c>
      <c r="AW131">
        <v>0.31968394328571564</v>
      </c>
      <c r="AY131">
        <v>-285.6675181154107</v>
      </c>
      <c r="BA131">
        <v>-107.42842189705254</v>
      </c>
      <c r="BD131">
        <f>SQRT(($T131*1000+coord!$B$7*$R131*$U131*1000-coord!$B$2-BA$130)^2+($U131*1000-coord!$B$7*$R131*$T131*1000-coord!$C$2-BA$131)^2+($V131*1000-coord!$D$2-BA$132)^2)</f>
        <v>21351065.144372825</v>
      </c>
      <c r="BE131" s="3">
        <f t="shared" ref="BE131:BE136" si="76">$D131-(BD131-$W131)-BA$133</f>
        <v>-1.911685677121099</v>
      </c>
      <c r="BG131" s="1"/>
      <c r="BH131" s="1"/>
      <c r="BI131" s="1"/>
      <c r="BV131">
        <f>-SIN(RADIANS(BK130))*SIN(RADIANS(BL130))</f>
        <v>-0.1467885017535967</v>
      </c>
      <c r="BW131">
        <f>COS(RADIANS(BL130))</f>
        <v>0.97852780510592052</v>
      </c>
      <c r="BX131">
        <f>COS(RADIANS(BK130))*SIN(RADIANS(BL130))</f>
        <v>0.14469440344230333</v>
      </c>
      <c r="BZ131" t="s">
        <v>94</v>
      </c>
      <c r="CA131">
        <v>-0.20611485786956191</v>
      </c>
      <c r="CB131">
        <v>0.97852780510592041</v>
      </c>
      <c r="CC131">
        <v>2.836462640182669E-17</v>
      </c>
      <c r="CD131">
        <v>0</v>
      </c>
      <c r="CE131" s="1">
        <v>-104.66100758288833</v>
      </c>
      <c r="CG131" s="1"/>
      <c r="CH131" s="1"/>
      <c r="CI131" s="1"/>
      <c r="CK131">
        <v>-0.36467983561467615</v>
      </c>
      <c r="CL131">
        <v>0.4508733960783291</v>
      </c>
      <c r="CM131">
        <v>0.10586825396150347</v>
      </c>
      <c r="CN131">
        <v>-0.1011085098494231</v>
      </c>
      <c r="CP131">
        <v>-0.1467885017535967</v>
      </c>
      <c r="CQ131">
        <v>0.97852780510592041</v>
      </c>
      <c r="CR131">
        <v>0.14469440344230333</v>
      </c>
      <c r="CS131">
        <v>0</v>
      </c>
      <c r="CU131" s="5">
        <v>0.26227425476727817</v>
      </c>
      <c r="CV131" s="5">
        <v>0.5163580871307939</v>
      </c>
      <c r="CW131" s="5">
        <v>-0.10987643119844592</v>
      </c>
      <c r="CX131" s="5">
        <v>-0.1011085098494231</v>
      </c>
    </row>
    <row r="132" spans="1:111">
      <c r="A132">
        <v>36</v>
      </c>
      <c r="B132">
        <f t="shared" si="41"/>
        <v>0.55000000000000004</v>
      </c>
      <c r="C132">
        <v>10</v>
      </c>
      <c r="D132">
        <f>tetto!D132*coord!$B$13-tetto!G132*coord!$B$14</f>
        <v>22720022.778889224</v>
      </c>
      <c r="E132" s="5">
        <f>90-DEGREES(ACOS((coord!$B$2*($T132*1000-coord!$B$2)+coord!$C$2*($U132*1000-coord!$C$2)+coord!$D$2*($V132*1000-coord!$D$2))/(SQRT(coord!$B$2^2+coord!$C$2^2+coord!$D$2^2)*SQRT(($T132*1000-coord!$B$2)^2+($U132*1000-coord!$C$2)^2+($V132*1000-coord!$D$2)^2))))</f>
        <v>28.416680697308969</v>
      </c>
      <c r="F132">
        <f>(coord!$C$2*($V132*1000-coord!$D$2)-coord!$D$2*($U132*1000-coord!$C$2))/(SQRT(coord!$B$2^2+coord!$C$2^2+coord!$D$2^2)*SQRT(($T132*1000-coord!$B$2)^2+($U132*1000-coord!$C$2)^2+($V132*1000-coord!$D$2)^2))</f>
        <v>0.6178951429263978</v>
      </c>
      <c r="G132">
        <f>(-coord!$B$2*($V132*1000-coord!$D$2)+coord!$D$2*($T132*1000-coord!$B$2))/(SQRT(coord!$B$2^2+coord!$C$2^2+coord!$D$2^2)*SQRT(($T132*1000-coord!$B$2)^2+($U132*1000-coord!$C$2)^2+($V132*1000-coord!$D$2)^2))</f>
        <v>-0.32834017304238827</v>
      </c>
      <c r="H132">
        <f>(coord!$B$2*($U132*1000-coord!$C$2)-coord!$C$2*($T132*1000-coord!$B$2))/(SQRT(coord!$B$2^2+coord!$C$2^2+coord!$D$2^2)*SQRT(($T132*1000-coord!$B$2)^2+($U132*1000-coord!$C$2)^2+($V132*1000-coord!$D$2)^2))</f>
        <v>-0.53285671496572051</v>
      </c>
      <c r="I132">
        <f t="shared" si="72"/>
        <v>-0.75646433348201292</v>
      </c>
      <c r="J132">
        <f t="shared" si="73"/>
        <v>-0.44865713015985914</v>
      </c>
      <c r="K132">
        <f t="shared" si="74"/>
        <v>-2.5391526010564158E-3</v>
      </c>
      <c r="L132">
        <f t="shared" si="75"/>
        <v>-59.327924931898991</v>
      </c>
      <c r="M132" s="5">
        <f>'sv10'!$AA$3+'sv10'!$Z$3*($B132)+'sv10'!$Y$3*($B132)^2+'sv10'!$X$3*($B132)^3+'sv10'!$W$3*($B132)^4+'sv10'!$V$3*($B132)^5+'sv10'!$U$3*($B132)^6+'sv10'!$T$3*($B132)^7+'sv10'!$S$3*($B132)^8</f>
        <v>8302.1395373990072</v>
      </c>
      <c r="N132" s="5">
        <f>'sv10'!$AA$4+'sv10'!$Z$4*($B132)+'sv10'!$Y$4*($B132)^2+'sv10'!$X$4*($B132)^3+'sv10'!$W$4*($B132)^4+'sv10'!$V$4*($B132)^5+'sv10'!$U$4*($B132)^6+'sv10'!$T$4*($B132)^7+'sv10'!$S$4*($B132)^8</f>
        <v>-15805.138809648746</v>
      </c>
      <c r="O132" s="5">
        <f>'sv10'!$AA$5+'sv10'!$Z$5*($B132)+'sv10'!$Y$5*($B132)^2+'sv10'!$X$5*($B132)^3+'sv10'!$W$5*($B132)^4+'sv10'!$V$5*($B132)^5+'sv10'!$U$5*($B132)^6+'sv10'!$T$5*($B132)^7+'sv10'!$S$5*($B132)^8</f>
        <v>19366.060187741226</v>
      </c>
      <c r="P132" s="5">
        <f>'sv10'!$AA$6+'sv10'!$Z$6*$B132+'sv10'!$Y$6*$B132^2+'sv10'!$X$6*$B132^3+'sv10'!$W$6*$B132^4+'sv10'!$V$6*$B132^5+'sv10'!$U$6*$B132^6+'sv10'!$T$6*$B132^7+'sv10'!$S$6*$B132^8</f>
        <v>-43.001749185642232</v>
      </c>
      <c r="R132">
        <f>SQRT(($M132*1000-coord!$B$2)^2+($N132*1000-coord!$C$2)^2+($O132*1000-coord!$D$2)^2)/coord!$B$6</f>
        <v>7.5742888107132103E-2</v>
      </c>
      <c r="T132" s="5">
        <f>'sv10'!$AA$3+'sv10'!$Z$3*($B132-$R132/3600)+'sv10'!$Y$3*($B132-$R132/3600)^2+'sv10'!$X$3*($B132-$R132/3600)^3+'sv10'!$W$3*($B132-$R132/3600)^4+'sv10'!$V$3*($B132-$R132/3600)^5+'sv10'!$U$3*($B132-$R132/3600)^6+'sv10'!$T$3*($B132-$R132/3600)^7+'sv10'!$S$3*($B132-$R132/3600)^8+N132*coord!$B$7*R132</f>
        <v>8301.968226214929</v>
      </c>
      <c r="U132" s="5">
        <f>'sv10'!$AA$4+'sv10'!$Z$4*($B132-$R132/3600)+'sv10'!$Y$4*($B132-$R132/3600)^2+'sv10'!$X$4*($B132-$R132/3600)^3+'sv10'!$W$4*($B132-$R132/3600)^4+'sv10'!$V$4*($B132-$R132/3600)^5+'sv10'!$U$4*($B132-$R132/3600)^6+'sv10'!$T$4*($B132-$R132/3600)^7+'sv10'!$S$4*($B132-$R132/3600)^8-M132*coord!$B$7*R132</f>
        <v>-15805.355833917474</v>
      </c>
      <c r="V132" s="5">
        <f>'sv10'!$AA$5+'sv10'!$Z$5*($B132-$R132/3600)+'sv10'!$Y$5*($B132-$R132/3600)^2+'sv10'!$X$5*($B132-$R132/3600)^3+'sv10'!$W$5*($B132-$R132/3600)^4+'sv10'!$V$5*($B132-$R132/3600)^5+'sv10'!$U$5*($B132-$R132/3600)^6+'sv10'!$T$5*($B132-$R132/3600)^7+'sv10'!$S$5*($B132-$R132/3600)^8</f>
        <v>19365.954905675397</v>
      </c>
      <c r="W132">
        <f>coord!$B$6*P132/10^6</f>
        <v>-12891.600086663184</v>
      </c>
      <c r="X132">
        <f>SQRT(($T132*1000+coord!$B$7*$R132*$U132*1000-coord!$B$2)^2+($U132*1000-coord!$B$7*$R132*$T132*1000-coord!$C$2)^2+($V132*1000-coord!$D$2)^2)</f>
        <v>22707226.879332274</v>
      </c>
      <c r="Y132" s="3">
        <f>$D132-(X132-$W132)-coord!$E$2</f>
        <v>-95.700529713183641</v>
      </c>
      <c r="Z132" s="3"/>
      <c r="AB132">
        <f>-(T132*1000-coord!$B$2)/$X132</f>
        <v>-0.17232795868070333</v>
      </c>
      <c r="AC132">
        <f>-(U132*1000-coord!$C$2)/$X132</f>
        <v>0.73676658695583663</v>
      </c>
      <c r="AD132">
        <f>-(V132*1000-coord!$D$2)/$X132</f>
        <v>-0.65381680952368093</v>
      </c>
      <c r="AE132">
        <v>1</v>
      </c>
      <c r="AG132">
        <v>-0.71348821988551392</v>
      </c>
      <c r="AH132">
        <v>-0.7806908081254198</v>
      </c>
      <c r="AI132">
        <v>-0.65381680952368093</v>
      </c>
      <c r="AJ132">
        <v>-0.3838357130834773</v>
      </c>
      <c r="AK132">
        <v>6.4591405127866382E-3</v>
      </c>
      <c r="AL132">
        <v>-0.85412845959042061</v>
      </c>
      <c r="AM132">
        <v>-3.9410464261705976E-2</v>
      </c>
      <c r="AO132">
        <v>1.1249830119340829</v>
      </c>
      <c r="AP132">
        <v>-0.42605728323748404</v>
      </c>
      <c r="AQ132">
        <v>2.4244801835327392</v>
      </c>
      <c r="AR132">
        <v>-3.418911333957432</v>
      </c>
      <c r="AT132">
        <v>1.655438464046086</v>
      </c>
      <c r="AU132">
        <v>0.45688913013746629</v>
      </c>
      <c r="AV132">
        <v>2.6237911652283779</v>
      </c>
      <c r="AW132">
        <v>2.0559202058964492</v>
      </c>
      <c r="AY132">
        <v>121.82960694217959</v>
      </c>
      <c r="BA132">
        <v>46.758873133992225</v>
      </c>
      <c r="BD132">
        <f>SQRT(($T132*1000+coord!$B$7*$R132*$U132*1000-coord!$B$2-BA$130)^2+($U132*1000-coord!$B$7*$R132*$T132*1000-coord!$C$2-BA$131)^2+($V132*1000-coord!$D$2-BA$132)^2)</f>
        <v>22707117.542909615</v>
      </c>
      <c r="BE132" s="3">
        <f t="shared" si="76"/>
        <v>3.4593932536740937</v>
      </c>
      <c r="BG132" s="1"/>
      <c r="BH132" s="1"/>
      <c r="BI132" s="1"/>
      <c r="BV132">
        <f>COS(RADIANS(BK130))</f>
        <v>0.70200860305700041</v>
      </c>
      <c r="BW132">
        <v>0</v>
      </c>
      <c r="BX132">
        <f>SIN(RADIANS(BK130))</f>
        <v>0.71216846408273293</v>
      </c>
      <c r="BZ132" t="s">
        <v>95</v>
      </c>
      <c r="CA132">
        <v>0.68693493751484003</v>
      </c>
      <c r="CB132">
        <v>0.14469440344230333</v>
      </c>
      <c r="CC132">
        <v>0.71216846408273293</v>
      </c>
      <c r="CD132">
        <v>0</v>
      </c>
      <c r="CE132" s="1">
        <v>16.2205252217415</v>
      </c>
      <c r="CG132" s="1"/>
      <c r="CH132" s="1"/>
      <c r="CI132" s="1"/>
      <c r="CK132">
        <v>2.9916937275676463</v>
      </c>
      <c r="CL132">
        <v>0.51787603132397997</v>
      </c>
      <c r="CM132">
        <v>3.0718691421982118</v>
      </c>
      <c r="CN132">
        <v>2.889948348443836</v>
      </c>
      <c r="CP132">
        <v>0.70200860305700041</v>
      </c>
      <c r="CQ132">
        <v>2.836462640182669E-17</v>
      </c>
      <c r="CR132">
        <v>0.71216846408273293</v>
      </c>
      <c r="CS132">
        <v>0</v>
      </c>
      <c r="CU132" s="5">
        <v>-4.3811662602548651E-3</v>
      </c>
      <c r="CV132" s="5">
        <v>-0.10987643119844617</v>
      </c>
      <c r="CW132" s="5">
        <v>4.317721036082153</v>
      </c>
      <c r="CX132" s="5">
        <v>2.889948348443836</v>
      </c>
    </row>
    <row r="133" spans="1:111">
      <c r="A133">
        <v>36</v>
      </c>
      <c r="B133">
        <f t="shared" si="41"/>
        <v>0.55000000000000004</v>
      </c>
      <c r="C133">
        <v>4</v>
      </c>
      <c r="D133">
        <f>tetto!D133*coord!$B$13-tetto!G133*coord!$B$14</f>
        <v>21226683.137147274</v>
      </c>
      <c r="E133" s="5">
        <f>90-DEGREES(ACOS((coord!$B$2*($T133*1000-coord!$B$2)+coord!$C$2*($U133*1000-coord!$C$2)+coord!$D$2*($V133*1000-coord!$D$2))/(SQRT(coord!$B$2^2+coord!$C$2^2+coord!$D$2^2)*SQRT(($T133*1000-coord!$B$2)^2+($U133*1000-coord!$C$2)^2+($V133*1000-coord!$D$2)^2))))</f>
        <v>53.422067070537466</v>
      </c>
      <c r="F133">
        <f>(coord!$C$2*($V133*1000-coord!$D$2)-coord!$D$2*($U133*1000-coord!$C$2))/(SQRT(coord!$B$2^2+coord!$C$2^2+coord!$D$2^2)*SQRT(($T133*1000-coord!$B$2)^2+($U133*1000-coord!$C$2)^2+($V133*1000-coord!$D$2)^2))</f>
        <v>0.316483719238141</v>
      </c>
      <c r="G133">
        <f>(-coord!$B$2*($V133*1000-coord!$D$2)+coord!$D$2*($T133*1000-coord!$B$2))/(SQRT(coord!$B$2^2+coord!$C$2^2+coord!$D$2^2)*SQRT(($T133*1000-coord!$B$2)^2+($U133*1000-coord!$C$2)^2+($V133*1000-coord!$D$2)^2))</f>
        <v>0.33676423195912397</v>
      </c>
      <c r="H133">
        <f>(coord!$B$2*($U133*1000-coord!$C$2)-coord!$C$2*($T133*1000-coord!$B$2))/(SQRT(coord!$B$2^2+coord!$C$2^2+coord!$D$2^2)*SQRT(($T133*1000-coord!$B$2)^2+($U133*1000-coord!$C$2)^2+($V133*1000-coord!$D$2)^2))</f>
        <v>-0.37622247012794779</v>
      </c>
      <c r="I133">
        <f t="shared" si="72"/>
        <v>-0.53409807852259439</v>
      </c>
      <c r="J133">
        <f t="shared" si="73"/>
        <v>0.26429426875900541</v>
      </c>
      <c r="K133">
        <f t="shared" si="74"/>
        <v>-1.7948589401273751E-3</v>
      </c>
      <c r="L133">
        <f t="shared" si="75"/>
        <v>243.67185232449381</v>
      </c>
      <c r="M133" s="5">
        <f>'sv04'!$AA$3+'sv04'!$Z$3*($B133)+'sv04'!$Y$3*($B133)^2+'sv04'!$X$3*($B133)^3+'sv04'!$W$3*($B133)^4+'sv04'!$V$3*($B133)^5+'sv04'!$U$3*($B133)^6+'sv04'!$T$3*($B133)^7+'sv04'!$S$3*($B133)^8</f>
        <v>22393.944828383293</v>
      </c>
      <c r="N133" s="5">
        <f>'sv04'!$AA$4+'sv04'!$Z$4*($B133)+'sv04'!$Y$4*($B133)^2+'sv04'!$X$4*($B133)^3+'sv04'!$W$4*($B133)^4+'sv04'!$V$4*($B133)^5+'sv04'!$U$4*($B133)^6+'sv04'!$T$4*($B133)^7+'sv04'!$S$4*($B133)^8</f>
        <v>-6882.5654503107717</v>
      </c>
      <c r="O133" s="5">
        <f>'sv04'!$AA$5+'sv04'!$Z$5*($B133)+'sv04'!$Y$5*($B133)^2+'sv04'!$X$5*($B133)^3+'sv04'!$W$5*($B133)^4+'sv04'!$V$5*($B133)^5+'sv04'!$U$5*($B133)^6+'sv04'!$T$5*($B133)^7+'sv04'!$S$5*($B133)^8</f>
        <v>12676.951476395032</v>
      </c>
      <c r="P133" s="5">
        <f>'sv04'!$AA$6+'sv04'!$Z$6*$B133+'sv04'!$Y$6*$B133^2+'sv04'!$X$6*$B133^3+'sv04'!$W$6*$B133^4+'sv04'!$V$6*$B133^5+'sv04'!$U$6*$B133^6+'sv04'!$T$6*$B133^7+'sv04'!$S$6*$B133^8</f>
        <v>86.603729613693133</v>
      </c>
      <c r="R133">
        <f>SQRT(($M133*1000-coord!$B$2)^2+($N133*1000-coord!$C$2)^2+($O133*1000-coord!$D$2)^2)/coord!$B$6</f>
        <v>7.0891306595847928E-2</v>
      </c>
      <c r="T133" s="5">
        <f>'sv04'!$AA$3+'sv04'!$Z$3*($B133-$R133/3600)+'sv04'!$Y$3*($B133-$R133/3600)^2+'sv04'!$X$3*($B133-$R133/3600)^3+'sv04'!$W$3*($B133-$R133/3600)^4+'sv04'!$V$3*($B133-$R133/3600)^5+'sv04'!$U$3*($B133-$R133/3600)^6+'sv04'!$T$3*($B133-$R133/3600)^7+'sv04'!$S$3*($B133-$R133/3600)^8+N133*coord!$B$7*R133</f>
        <v>22393.796517074381</v>
      </c>
      <c r="U133" s="5">
        <f>'sv04'!$AA$4+'sv04'!$Z$4*($B133-$R133/3600)+'sv04'!$Y$4*($B133-$R133/3600)^2+'sv04'!$X$4*($B133-$R133/3600)^3+'sv04'!$W$4*($B133-$R133/3600)^4+'sv04'!$V$4*($B133-$R133/3600)^5+'sv04'!$U$4*($B133-$R133/3600)^6+'sv04'!$T$4*($B133-$R133/3600)^7+'sv04'!$S$4*($B133-$R133/3600)^8-M133*coord!$B$7*R133</f>
        <v>-6882.7121856119493</v>
      </c>
      <c r="V133" s="5">
        <f>'sv04'!$AA$5+'sv04'!$Z$5*($B133-$R133/3600)+'sv04'!$Y$5*($B133-$R133/3600)^2+'sv04'!$X$5*($B133-$R133/3600)^3+'sv04'!$W$5*($B133-$R133/3600)^4+'sv04'!$V$5*($B133-$R133/3600)^5+'sv04'!$U$5*($B133-$R133/3600)^6+'sv04'!$T$5*($B133-$R133/3600)^7+'sv04'!$S$5*($B133-$R133/3600)^8</f>
        <v>12677.128840764099</v>
      </c>
      <c r="W133">
        <f>coord!$B$6*P133/10^6</f>
        <v>25963.144972856451</v>
      </c>
      <c r="X133">
        <f>SQRT(($T133*1000+coord!$B$7*$R133*$U133*1000-coord!$B$2)^2+($U133*1000-coord!$B$7*$R133*$T133*1000-coord!$C$2)^2+($V133*1000-coord!$D$2)^2)</f>
        <v>21252687.773453694</v>
      </c>
      <c r="Y133" s="3">
        <f>$D133-(X133-$W133)-coord!$E$2</f>
        <v>-41.491333562880754</v>
      </c>
      <c r="Z133" s="3"/>
      <c r="AB133">
        <f>-(T133*1000-coord!$B$2)/$X133</f>
        <v>-0.84718312046930655</v>
      </c>
      <c r="AC133">
        <f>-(U133*1000-coord!$C$2)/$X133</f>
        <v>0.36735506031213</v>
      </c>
      <c r="AD133">
        <f>-(V133*1000-coord!$D$2)/$X133</f>
        <v>-0.3838357130834773</v>
      </c>
      <c r="AE133">
        <v>1</v>
      </c>
      <c r="AG133">
        <v>1</v>
      </c>
      <c r="AH133">
        <v>1</v>
      </c>
      <c r="AI133">
        <v>1</v>
      </c>
      <c r="AJ133">
        <v>1</v>
      </c>
      <c r="AK133">
        <v>1</v>
      </c>
      <c r="AL133">
        <v>1</v>
      </c>
      <c r="AM133">
        <v>1</v>
      </c>
      <c r="AO133">
        <v>-3.2123307476873553</v>
      </c>
      <c r="AP133">
        <v>-0.22569197377901376</v>
      </c>
      <c r="AQ133">
        <v>-3.418911333957432</v>
      </c>
      <c r="AR133">
        <v>7</v>
      </c>
      <c r="AT133">
        <v>2.0082401699655792</v>
      </c>
      <c r="AU133">
        <v>0.3196839432857157</v>
      </c>
      <c r="AV133">
        <v>2.0559202058964496</v>
      </c>
      <c r="AW133">
        <v>2.0788986629311981</v>
      </c>
      <c r="AY133">
        <v>-57.203283946961164</v>
      </c>
      <c r="BA133">
        <v>10.176499692598995</v>
      </c>
      <c r="BD133">
        <f>SQRT(($T133*1000+coord!$B$7*$R133*$U133*1000-coord!$B$2-BA$130)^2+($U133*1000-coord!$B$7*$R133*$T133*1000-coord!$C$2-BA$131)^2+($V133*1000-coord!$D$2-BA$132)^2)</f>
        <v>21252632.254566774</v>
      </c>
      <c r="BE133" s="3">
        <f t="shared" si="76"/>
        <v>3.8510536645849385</v>
      </c>
      <c r="BG133" s="1"/>
      <c r="BH133" s="1"/>
      <c r="BI133" s="1"/>
      <c r="CA133">
        <v>0</v>
      </c>
      <c r="CB133">
        <v>0</v>
      </c>
      <c r="CC133">
        <v>0</v>
      </c>
      <c r="CD133">
        <v>1</v>
      </c>
      <c r="CG133" s="1"/>
      <c r="CH133" s="1"/>
      <c r="CI133" s="1"/>
      <c r="CK133">
        <v>2.0082401699655792</v>
      </c>
      <c r="CL133">
        <v>0.3196839432857157</v>
      </c>
      <c r="CM133">
        <v>2.0559202058964496</v>
      </c>
      <c r="CN133">
        <v>2.0788986629311981</v>
      </c>
      <c r="CP133">
        <v>0</v>
      </c>
      <c r="CQ133">
        <v>0</v>
      </c>
      <c r="CR133">
        <v>0</v>
      </c>
      <c r="CS133">
        <v>1</v>
      </c>
      <c r="CU133" s="5">
        <v>-3.1479253724320255E-3</v>
      </c>
      <c r="CV133" s="5">
        <v>-0.10110850984942327</v>
      </c>
      <c r="CW133" s="5">
        <v>2.8899483484438369</v>
      </c>
      <c r="CX133" s="5">
        <v>2.0788986629311981</v>
      </c>
    </row>
    <row r="134" spans="1:111">
      <c r="A134">
        <v>36</v>
      </c>
      <c r="B134">
        <f t="shared" si="41"/>
        <v>0.55000000000000004</v>
      </c>
      <c r="C134">
        <v>20</v>
      </c>
      <c r="D134">
        <f>tetto!D134*coord!$B$13-tetto!G134*coord!$B$14</f>
        <v>23255364.533408329</v>
      </c>
      <c r="E134" s="5">
        <f>90-DEGREES(ACOS((coord!$B$2*($T134*1000-coord!$B$2)+coord!$C$2*($U134*1000-coord!$C$2)+coord!$D$2*($V134*1000-coord!$D$2))/(SQRT(coord!$B$2^2+coord!$C$2^2+coord!$D$2^2)*SQRT(($T134*1000-coord!$B$2)^2+($U134*1000-coord!$C$2)^2+($V134*1000-coord!$D$2)^2))))</f>
        <v>24.633301847647218</v>
      </c>
      <c r="F134">
        <f>(coord!$C$2*($V134*1000-coord!$D$2)-coord!$D$2*($U134*1000-coord!$C$2))/(SQRT(coord!$B$2^2+coord!$C$2^2+coord!$D$2^2)*SQRT(($T134*1000-coord!$B$2)^2+($U134*1000-coord!$C$2)^2+($V134*1000-coord!$D$2)^2))</f>
        <v>-0.64501665335374314</v>
      </c>
      <c r="G134">
        <f>(-coord!$B$2*($V134*1000-coord!$D$2)+coord!$D$2*($T134*1000-coord!$B$2))/(SQRT(coord!$B$2^2+coord!$C$2^2+coord!$D$2^2)*SQRT(($T134*1000-coord!$B$2)^2+($U134*1000-coord!$C$2)^2+($V134*1000-coord!$D$2)^2))</f>
        <v>0.30271303848050063</v>
      </c>
      <c r="H134">
        <f>(coord!$B$2*($U134*1000-coord!$C$2)-coord!$C$2*($T134*1000-coord!$B$2))/(SQRT(coord!$B$2^2+coord!$C$2^2+coord!$D$2^2)*SQRT(($T134*1000-coord!$B$2)^2+($U134*1000-coord!$C$2)^2+($V134*1000-coord!$D$2)^2))</f>
        <v>0.56443638144792818</v>
      </c>
      <c r="I134">
        <f t="shared" si="72"/>
        <v>0.80129590054946642</v>
      </c>
      <c r="J134">
        <f t="shared" si="73"/>
        <v>0.42917099180156526</v>
      </c>
      <c r="K134">
        <f t="shared" si="74"/>
        <v>2.6898011955446832E-3</v>
      </c>
      <c r="L134">
        <f t="shared" si="75"/>
        <v>118.17333012254778</v>
      </c>
      <c r="M134" s="5">
        <f>'sv20'!$AA$3+'sv20'!$Z$3*($B134)+'sv20'!$Y$3*($B134)^2+'sv20'!$X$3*($B134)^3+'sv20'!$W$3*($B134)^4+'sv20'!$V$3*($B134)^5+'sv20'!$U$3*($B134)^6+'sv20'!$T$3*($B134)^7+'sv20'!$S$3*($B134)^8</f>
        <v>14167.723685939383</v>
      </c>
      <c r="N134" s="5">
        <f>'sv20'!$AA$4+'sv20'!$Z$4*($B134)+'sv20'!$Y$4*($B134)^2+'sv20'!$X$4*($B134)^3+'sv20'!$W$4*($B134)^4+'sv20'!$V$4*($B134)^5+'sv20'!$U$4*($B134)^6+'sv20'!$T$4*($B134)^7+'sv20'!$S$4*($B134)^8</f>
        <v>22041.883799171992</v>
      </c>
      <c r="O134" s="5">
        <f>'sv20'!$AA$5+'sv20'!$Z$5*($B134)+'sv20'!$Y$5*($B134)^2+'sv20'!$X$5*($B134)^3+'sv20'!$W$5*($B134)^4+'sv20'!$V$5*($B134)^5+'sv20'!$U$5*($B134)^6+'sv20'!$T$5*($B134)^7+'sv20'!$S$5*($B134)^8</f>
        <v>4369.034157663923</v>
      </c>
      <c r="P134" s="5">
        <f>'sv20'!$AA$6+'sv20'!$Z$6*$B134+'sv20'!$Y$6*$B134^2+'sv20'!$X$6*$B134^3+'sv20'!$W$6*$B134^4+'sv20'!$V$6*$B134^5+'sv20'!$U$6*$B134^6+'sv20'!$T$6*$B134^7+'sv20'!$S$6*$B134^8</f>
        <v>55.817674031701976</v>
      </c>
      <c r="R134">
        <f>SQRT(($M134*1000-coord!$B$2)^2+($N134*1000-coord!$C$2)^2+($O134*1000-coord!$D$2)^2)/coord!$B$6</f>
        <v>7.7627282425357769E-2</v>
      </c>
      <c r="T134" s="5">
        <f>'sv20'!$AA$3+'sv20'!$Z$3*($B134-$R134/3600)+'sv20'!$Y$3*($B134-$R134/3600)^2+'sv20'!$X$3*($B134-$R134/3600)^3+'sv20'!$W$3*($B134-$R134/3600)^4+'sv20'!$V$3*($B134-$R134/3600)^5+'sv20'!$U$3*($B134-$R134/3600)^6+'sv20'!$T$3*($B134-$R134/3600)^7+'sv20'!$S$3*($B134-$R134/3600)^8+N134*coord!$B$7*R134</f>
        <v>14167.853340820957</v>
      </c>
      <c r="U134" s="5">
        <f>'sv20'!$AA$4+'sv20'!$Z$4*($B134-$R134/3600)+'sv20'!$Y$4*($B134-$R134/3600)^2+'sv20'!$X$4*($B134-$R134/3600)^3+'sv20'!$W$4*($B134-$R134/3600)^4+'sv20'!$V$4*($B134-$R134/3600)^5+'sv20'!$U$4*($B134-$R134/3600)^6+'sv20'!$T$4*($B134-$R134/3600)^7+'sv20'!$S$4*($B134-$R134/3600)^8-M134*coord!$B$7*R134</f>
        <v>22041.751922046915</v>
      </c>
      <c r="V134" s="5">
        <f>'sv20'!$AA$5+'sv20'!$Z$5*($B134-$R134/3600)+'sv20'!$Y$5*($B134-$R134/3600)^2+'sv20'!$X$5*($B134-$R134/3600)^3+'sv20'!$W$5*($B134-$R134/3600)^4+'sv20'!$V$5*($B134-$R134/3600)^5+'sv20'!$U$5*($B134-$R134/3600)^6+'sv20'!$T$5*($B134-$R134/3600)^7+'sv20'!$S$5*($B134-$R134/3600)^8</f>
        <v>4369.2712419074678</v>
      </c>
      <c r="W134">
        <f>coord!$B$6*P134/10^6</f>
        <v>16733.717697806707</v>
      </c>
      <c r="X134">
        <f>SQRT(($T134*1000+coord!$B$7*$R134*$U134*1000-coord!$B$2)^2+($U134*1000-coord!$B$7*$R134*$T134*1000-coord!$C$2)^2+($V134*1000-coord!$D$2)^2)</f>
        <v>23271986.744205542</v>
      </c>
      <c r="Y134" s="3">
        <f>$D134-(X134-$W134)-coord!$E$2</f>
        <v>111.50690059363842</v>
      </c>
      <c r="Z134" s="3"/>
      <c r="AB134">
        <f>-(T134*1000-coord!$B$2)/$X134</f>
        <v>-0.42020371004447266</v>
      </c>
      <c r="AC134">
        <f>-(U134*1000-coord!$C$2)/$X134</f>
        <v>-0.90740777489076441</v>
      </c>
      <c r="AD134">
        <f>-(V134*1000-coord!$D$2)/$X134</f>
        <v>6.4591405127866382E-3</v>
      </c>
      <c r="AE134">
        <v>1</v>
      </c>
      <c r="BD134">
        <f>SQRT(($T134*1000+coord!$B$7*$R134*$U134*1000-coord!$B$2-BA$130)^2+($U134*1000-coord!$B$7*$R134*$T134*1000-coord!$C$2-BA$131)^2+($V134*1000-coord!$D$2-BA$132)^2)</f>
        <v>23272085.466543749</v>
      </c>
      <c r="BE134" s="3">
        <f t="shared" si="76"/>
        <v>2.6080626939733662</v>
      </c>
      <c r="BG134" s="1"/>
      <c r="BH134" s="1"/>
      <c r="BI134" s="1"/>
      <c r="CG134" s="1"/>
      <c r="CH134" s="1"/>
      <c r="CI134" s="1"/>
    </row>
    <row r="135" spans="1:111">
      <c r="A135">
        <v>36</v>
      </c>
      <c r="B135">
        <f t="shared" si="41"/>
        <v>0.55000000000000004</v>
      </c>
      <c r="C135">
        <v>13</v>
      </c>
      <c r="D135">
        <f>tetto!D135*coord!$B$13-tetto!G135*coord!$B$14</f>
        <v>20187920.398873761</v>
      </c>
      <c r="E135" s="5">
        <f>90-DEGREES(ACOS((coord!$B$2*($T135*1000-coord!$B$2)+coord!$C$2*($U135*1000-coord!$C$2)+coord!$D$2*($V135*1000-coord!$D$2))/(SQRT(coord!$B$2^2+coord!$C$2^2+coord!$D$2^2)*SQRT(($T135*1000-coord!$B$2)^2+($U135*1000-coord!$C$2)^2+($V135*1000-coord!$D$2)^2))))</f>
        <v>73.547050277623583</v>
      </c>
      <c r="F135">
        <f>(coord!$C$2*($V135*1000-coord!$D$2)-coord!$D$2*($U135*1000-coord!$C$2))/(SQRT(coord!$B$2^2+coord!$C$2^2+coord!$D$2^2)*SQRT(($T135*1000-coord!$B$2)^2+($U135*1000-coord!$C$2)^2+($V135*1000-coord!$D$2)^2))</f>
        <v>-4.656128483556591E-2</v>
      </c>
      <c r="G135">
        <f>(-coord!$B$2*($V135*1000-coord!$D$2)+coord!$D$2*($T135*1000-coord!$B$2))/(SQRT(coord!$B$2^2+coord!$C$2^2+coord!$D$2^2)*SQRT(($T135*1000-coord!$B$2)^2+($U135*1000-coord!$C$2)^2+($V135*1000-coord!$D$2)^2))</f>
        <v>-0.26136549071931714</v>
      </c>
      <c r="H135">
        <f>(coord!$B$2*($U135*1000-coord!$C$2)-coord!$C$2*($T135*1000-coord!$B$2))/(SQRT(coord!$B$2^2+coord!$C$2^2+coord!$D$2^2)*SQRT(($T135*1000-coord!$B$2)^2+($U135*1000-coord!$C$2)^2+($V135*1000-coord!$D$2)^2))</f>
        <v>9.868212036765131E-2</v>
      </c>
      <c r="I135">
        <f t="shared" si="72"/>
        <v>0.14009181194579867</v>
      </c>
      <c r="J135">
        <f t="shared" si="73"/>
        <v>-0.24615461777054504</v>
      </c>
      <c r="K135">
        <f t="shared" si="74"/>
        <v>4.7142414407443101E-4</v>
      </c>
      <c r="L135">
        <f t="shared" si="75"/>
        <v>29.645121874016795</v>
      </c>
      <c r="M135" s="5">
        <f>'sv13'!$AA$3+'sv13'!$Z$3*($B135)+'sv13'!$Y$3*($B135)^2+'sv13'!$X$3*($B135)^3+'sv13'!$W$3*($B135)^4+'sv13'!$V$3*($B135)^5+'sv13'!$U$3*($B135)^6+'sv13'!$T$3*($B135)^7+'sv13'!$S$3*($B135)^8</f>
        <v>13741.52069559441</v>
      </c>
      <c r="N135" s="5">
        <f>'sv13'!$AA$4+'sv13'!$Z$4*($B135)+'sv13'!$Y$4*($B135)^2+'sv13'!$X$4*($B135)^3+'sv13'!$W$4*($B135)^4+'sv13'!$V$4*($B135)^5+'sv13'!$U$4*($B135)^6+'sv13'!$T$4*($B135)^7+'sv13'!$S$4*($B135)^8</f>
        <v>5798.3914168304309</v>
      </c>
      <c r="O135" s="5">
        <f>'sv13'!$AA$5+'sv13'!$Z$5*($B135)+'sv13'!$Y$5*($B135)^2+'sv13'!$X$5*($B135)^3+'sv13'!$W$5*($B135)^4+'sv13'!$V$5*($B135)^5+'sv13'!$U$5*($B135)^6+'sv13'!$T$5*($B135)^7+'sv13'!$S$5*($B135)^8</f>
        <v>21840.601658327239</v>
      </c>
      <c r="P135" s="5">
        <f>'sv13'!$AA$6+'sv13'!$Z$6*$B135+'sv13'!$Y$6*$B135^2+'sv13'!$X$6*$B135^3+'sv13'!$W$6*$B135^4+'sv13'!$V$6*$B135^5+'sv13'!$U$6*$B135^6+'sv13'!$T$6*$B135^7+'sv13'!$S$6*$B135^8</f>
        <v>304.21932013348527</v>
      </c>
      <c r="R135">
        <f>SQRT(($M135*1000-coord!$B$2)^2+($N135*1000-coord!$C$2)^2+($O135*1000-coord!$D$2)^2)/coord!$B$6</f>
        <v>6.7643933213086205E-2</v>
      </c>
      <c r="T135" s="5">
        <f>'sv13'!$AA$3+'sv13'!$Z$3*($B135-$R135/3600)+'sv13'!$Y$3*($B135-$R135/3600)^2+'sv13'!$X$3*($B135-$R135/3600)^3+'sv13'!$W$3*($B135-$R135/3600)^4+'sv13'!$V$3*($B135-$R135/3600)^5+'sv13'!$U$3*($B135-$R135/3600)^6+'sv13'!$T$3*($B135-$R135/3600)^7+'sv13'!$S$3*($B135-$R135/3600)^8+N135*coord!$B$7*R135</f>
        <v>13741.669536323836</v>
      </c>
      <c r="U135" s="5">
        <f>'sv13'!$AA$4+'sv13'!$Z$4*($B135-$R135/3600)+'sv13'!$Y$4*($B135-$R135/3600)^2+'sv13'!$X$4*($B135-$R135/3600)^3+'sv13'!$W$4*($B135-$R135/3600)^4+'sv13'!$V$4*($B135-$R135/3600)^5+'sv13'!$U$4*($B135-$R135/3600)^6+'sv13'!$T$4*($B135-$R135/3600)^7+'sv13'!$S$4*($B135-$R135/3600)^8-M135*coord!$B$7*R135</f>
        <v>5798.1774686600038</v>
      </c>
      <c r="V135" s="5">
        <f>'sv13'!$AA$5+'sv13'!$Z$5*($B135-$R135/3600)+'sv13'!$Y$5*($B135-$R135/3600)^2+'sv13'!$X$5*($B135-$R135/3600)^3+'sv13'!$W$5*($B135-$R135/3600)^4+'sv13'!$V$5*($B135-$R135/3600)^5+'sv13'!$U$5*($B135-$R135/3600)^6+'sv13'!$T$5*($B135-$R135/3600)^7+'sv13'!$S$5*($B135-$R135/3600)^8</f>
        <v>21840.565248712639</v>
      </c>
      <c r="W135">
        <f>coord!$B$6*P135/10^6</f>
        <v>91202.657753906431</v>
      </c>
      <c r="X135">
        <f>SQRT(($T135*1000+coord!$B$7*$R135*$U135*1000-coord!$B$2)^2+($U135*1000-coord!$B$7*$R135*$T135*1000-coord!$C$2)^2+($V135*1000-coord!$D$2)^2)</f>
        <v>20279124.035649806</v>
      </c>
      <c r="Y135" s="3">
        <f>$D135-(X135-$W135)-coord!$E$2</f>
        <v>-0.97902213782072067</v>
      </c>
      <c r="Z135" s="3"/>
      <c r="AB135">
        <f>-(T135*1000-coord!$B$2)/$X135</f>
        <v>-0.46120292716204314</v>
      </c>
      <c r="AC135">
        <f>-(U135*1000-coord!$C$2)/$X135</f>
        <v>-0.24032632015526986</v>
      </c>
      <c r="AD135">
        <f>-(V135*1000-coord!$D$2)/$X135</f>
        <v>-0.85412845959042061</v>
      </c>
      <c r="AE135">
        <v>1</v>
      </c>
      <c r="BD135">
        <f>SQRT(($T135*1000+coord!$B$7*$R135*$U135*1000-coord!$B$2-BA$130)^2+($U135*1000-coord!$B$7*$R135*$T135*1000-coord!$C$2-BA$131)^2+($V135*1000-coord!$D$2-BA$132)^2)</f>
        <v>20279110.946262602</v>
      </c>
      <c r="BE135" s="3">
        <f t="shared" si="76"/>
        <v>1.9338653740783371</v>
      </c>
      <c r="BG135" s="1"/>
      <c r="BH135" s="1"/>
      <c r="BI135" s="1"/>
      <c r="CG135" s="1"/>
      <c r="CH135" s="1"/>
      <c r="CI135" s="1"/>
    </row>
    <row r="136" spans="1:111">
      <c r="A136">
        <v>36</v>
      </c>
      <c r="B136">
        <f t="shared" si="41"/>
        <v>0.55000000000000004</v>
      </c>
      <c r="C136">
        <v>7</v>
      </c>
      <c r="D136">
        <f>tetto!D136*coord!$B$13-tetto!G136*coord!$B$14</f>
        <v>21637876.402258482</v>
      </c>
      <c r="E136" s="5">
        <f>90-DEGREES(ACOS((coord!$B$2*($T136*1000-coord!$B$2)+coord!$C$2*($U136*1000-coord!$C$2)+coord!$D$2*($V136*1000-coord!$D$2))/(SQRT(coord!$B$2^2+coord!$C$2^2+coord!$D$2^2)*SQRT(($T136*1000-coord!$B$2)^2+($U136*1000-coord!$C$2)^2+($V136*1000-coord!$D$2)^2))))</f>
        <v>46.958839160578769</v>
      </c>
      <c r="F136">
        <f>(coord!$C$2*($V136*1000-coord!$D$2)-coord!$D$2*($U136*1000-coord!$C$2))/(SQRT(coord!$B$2^2+coord!$C$2^2+coord!$D$2^2)*SQRT(($T136*1000-coord!$B$2)^2+($U136*1000-coord!$C$2)^2+($V136*1000-coord!$D$2)^2))</f>
        <v>-0.17660255091157243</v>
      </c>
      <c r="G136">
        <f>(-coord!$B$2*($V136*1000-coord!$D$2)+coord!$D$2*($T136*1000-coord!$B$2))/(SQRT(coord!$B$2^2+coord!$C$2^2+coord!$D$2^2)*SQRT(($T136*1000-coord!$B$2)^2+($U136*1000-coord!$C$2)^2+($V136*1000-coord!$D$2)^2))</f>
        <v>0.65824995558399901</v>
      </c>
      <c r="H136">
        <f>(coord!$B$2*($U136*1000-coord!$C$2)-coord!$C$2*($T136*1000-coord!$B$2))/(SQRT(coord!$B$2^2+coord!$C$2^2+coord!$D$2^2)*SQRT(($T136*1000-coord!$B$2)^2+($U136*1000-coord!$C$2)^2+($V136*1000-coord!$D$2)^2))</f>
        <v>3.6837156113737737E-2</v>
      </c>
      <c r="I136">
        <f t="shared" si="72"/>
        <v>5.2297850166559121E-2</v>
      </c>
      <c r="J136">
        <f t="shared" si="73"/>
        <v>0.68051696963215647</v>
      </c>
      <c r="K136">
        <f t="shared" si="74"/>
        <v>1.7319348076516583E-4</v>
      </c>
      <c r="L136">
        <f t="shared" si="75"/>
        <v>175.60544690619008</v>
      </c>
      <c r="M136" s="5">
        <f>'sv07'!$AA$3+'sv07'!$Z$3*($B136)+'sv07'!$Y$3*($B136)^2+'sv07'!$X$3*($B136)^3+'sv07'!$W$3*($B136)^4+'sv07'!$V$3*($B136)^5+'sv07'!$U$3*($B136)^6+'sv07'!$T$3*($B136)^7+'sv07'!$S$3*($B136)^8</f>
        <v>25283.034620516741</v>
      </c>
      <c r="N136" s="5">
        <f>'sv07'!$AA$4+'sv07'!$Z$4*($B136)+'sv07'!$Y$4*($B136)^2+'sv07'!$X$4*($B136)^3+'sv07'!$W$4*($B136)^4+'sv07'!$V$4*($B136)^5+'sv07'!$U$4*($B136)^6+'sv07'!$T$4*($B136)^7+'sv07'!$S$4*($B136)^8</f>
        <v>6482.7295448931991</v>
      </c>
      <c r="O136" s="5">
        <f>'sv07'!$AA$5+'sv07'!$Z$5*($B136)+'sv07'!$Y$5*($B136)^2+'sv07'!$X$5*($B136)^3+'sv07'!$W$5*($B136)^4+'sv07'!$V$5*($B136)^5+'sv07'!$U$5*($B136)^6+'sv07'!$T$5*($B136)^7+'sv07'!$S$5*($B136)^8</f>
        <v>5372.5613070160307</v>
      </c>
      <c r="P136" s="5">
        <f>'sv07'!$AA$6+'sv07'!$Z$6*$B136+'sv07'!$Y$6*$B136^2+'sv07'!$X$6*$B136^3+'sv07'!$W$6*$B136^4+'sv07'!$V$6*$B136^5+'sv07'!$U$6*$B136^6+'sv07'!$T$6*$B136^7+'sv07'!$S$6*$B136^8</f>
        <v>-0.63795756831780204</v>
      </c>
      <c r="R136">
        <f>SQRT(($M136*1000-coord!$B$2)^2+($N136*1000-coord!$C$2)^2+($O136*1000-coord!$D$2)^2)/coord!$B$6</f>
        <v>7.2175321557920974E-2</v>
      </c>
      <c r="T136" s="5">
        <f>'sv07'!$AA$3+'sv07'!$Z$3*($B136-$R136/3600)+'sv07'!$Y$3*($B136-$R136/3600)^2+'sv07'!$X$3*($B136-$R136/3600)^3+'sv07'!$W$3*($B136-$R136/3600)^4+'sv07'!$V$3*($B136-$R136/3600)^5+'sv07'!$U$3*($B136-$R136/3600)^6+'sv07'!$T$3*($B136-$R136/3600)^7+'sv07'!$S$3*($B136-$R136/3600)^8+N136*coord!$B$7*R136</f>
        <v>25283.119292003455</v>
      </c>
      <c r="U136" s="5">
        <f>'sv07'!$AA$4+'sv07'!$Z$4*($B136-$R136/3600)+'sv07'!$Y$4*($B136-$R136/3600)^2+'sv07'!$X$4*($B136-$R136/3600)^3+'sv07'!$W$4*($B136-$R136/3600)^4+'sv07'!$V$4*($B136-$R136/3600)^5+'sv07'!$U$4*($B136-$R136/3600)^6+'sv07'!$T$4*($B136-$R136/3600)^7+'sv07'!$S$4*($B136-$R136/3600)^8-M136*coord!$B$7*R136</f>
        <v>6482.5856281592023</v>
      </c>
      <c r="V136" s="5">
        <f>'sv07'!$AA$5+'sv07'!$Z$5*($B136-$R136/3600)+'sv07'!$Y$5*($B136-$R136/3600)^2+'sv07'!$X$5*($B136-$R136/3600)^3+'sv07'!$W$5*($B136-$R136/3600)^4+'sv07'!$V$5*($B136-$R136/3600)^5+'sv07'!$U$5*($B136-$R136/3600)^6+'sv07'!$T$5*($B136-$R136/3600)^7+'sv07'!$S$5*($B136-$R136/3600)^8</f>
        <v>5372.33817814538</v>
      </c>
      <c r="W136">
        <f>coord!$B$6*P136/10^6</f>
        <v>-191.25486750569681</v>
      </c>
      <c r="X136">
        <f>SQRT(($T136*1000+coord!$B$7*$R136*$U136*1000-coord!$B$2)^2+($U136*1000-coord!$B$7*$R136*$T136*1000-coord!$C$2)^2+($V136*1000-coord!$D$2)^2)</f>
        <v>21637651.822182994</v>
      </c>
      <c r="Y136" s="3">
        <f>$D136-(X136-$W136)-coord!$E$2</f>
        <v>33.325207982212305</v>
      </c>
      <c r="Z136" s="3" t="s">
        <v>127</v>
      </c>
      <c r="AA136" s="1" t="s">
        <v>128</v>
      </c>
      <c r="AB136">
        <f>-(T136*1000-coord!$B$2)/$X136</f>
        <v>-0.96564272745079527</v>
      </c>
      <c r="AC136">
        <f>-(U136*1000-coord!$C$2)/$X136</f>
        <v>-0.25686777200385053</v>
      </c>
      <c r="AD136">
        <f>-(V136*1000-coord!$D$2)/$X136</f>
        <v>-3.9410464261705976E-2</v>
      </c>
      <c r="AE136">
        <v>1</v>
      </c>
      <c r="BD136">
        <f>SQRT(($T136*1000+coord!$B$7*$R136*$U136*1000-coord!$B$2-BA$130)^2+($U136*1000-coord!$B$7*$R136*$T136*1000-coord!$C$2-BA$131)^2+($V136*1000-coord!$D$2-BA$132)^2)</f>
        <v>21637679.732257698</v>
      </c>
      <c r="BE136" s="3">
        <f t="shared" si="76"/>
        <v>-4.7613664137820564</v>
      </c>
      <c r="BF136" s="3" t="s">
        <v>127</v>
      </c>
      <c r="BG136" s="1" t="s">
        <v>128</v>
      </c>
      <c r="BH136" s="1"/>
      <c r="BI136" s="1"/>
      <c r="CG136" s="1"/>
      <c r="CH136" s="1"/>
      <c r="CI136" s="1"/>
    </row>
    <row r="137" spans="1:111">
      <c r="Y137" s="3"/>
      <c r="Z137" s="3">
        <f>AVERAGE($Y130:$Y136)</f>
        <v>-8.1718977067087373</v>
      </c>
      <c r="AA137" s="1">
        <f>SQRT(DEVSQ($Y130:$Y136)/6)</f>
        <v>76.876265775706074</v>
      </c>
      <c r="BE137" s="3"/>
      <c r="BF137" s="3">
        <f>AVERAGE($BE130:$BE136)</f>
        <v>1.7794899286067384E-4</v>
      </c>
      <c r="BG137" s="1">
        <f>SQRT(DEVSQ($BE130:$BE136)/6)</f>
        <v>3.8832434548324191</v>
      </c>
      <c r="BH137" s="1"/>
      <c r="BI137" s="1"/>
      <c r="CG137" s="1"/>
      <c r="CH137" s="1"/>
      <c r="CI137" s="1"/>
    </row>
    <row r="138" spans="1:111">
      <c r="A138">
        <v>38</v>
      </c>
      <c r="B138">
        <f t="shared" si="41"/>
        <v>0.56666666666666665</v>
      </c>
      <c r="C138">
        <v>2</v>
      </c>
      <c r="D138">
        <f>tetto!D138*coord!$B$13-tetto!G138*coord!$B$14</f>
        <v>22428239.315685265</v>
      </c>
      <c r="E138" s="5">
        <f>90-DEGREES(ACOS((coord!$B$2*($T138*1000-coord!$B$2)+coord!$C$2*($U138*1000-coord!$C$2)+coord!$D$2*($V138*1000-coord!$D$2))/(SQRT(coord!$B$2^2+coord!$C$2^2+coord!$D$2^2)*SQRT(($T138*1000-coord!$B$2)^2+($U138*1000-coord!$C$2)^2+($V138*1000-coord!$D$2)^2))))</f>
        <v>32.396388233452228</v>
      </c>
      <c r="F138">
        <f>(coord!$C$2*($V138*1000-coord!$D$2)-coord!$D$2*($U138*1000-coord!$C$2))/(SQRT(coord!$B$2^2+coord!$C$2^2+coord!$D$2^2)*SQRT(($T138*1000-coord!$B$2)^2+($U138*1000-coord!$C$2)^2+($V138*1000-coord!$D$2)^2))</f>
        <v>0.58389990484830356</v>
      </c>
      <c r="G138">
        <f>(-coord!$B$2*($V138*1000-coord!$D$2)+coord!$D$2*($T138*1000-coord!$B$2))/(SQRT(coord!$B$2^2+coord!$C$2^2+coord!$D$2^2)*SQRT(($T138*1000-coord!$B$2)^2+($U138*1000-coord!$C$2)^2+($V138*1000-coord!$D$2)^2))</f>
        <v>-0.358053908473773</v>
      </c>
      <c r="H138">
        <f>(coord!$B$2*($U138*1000-coord!$C$2)-coord!$C$2*($T138*1000-coord!$B$2))/(SQRT(coord!$B$2^2+coord!$C$2^2+coord!$D$2^2)*SQRT(($T138*1000-coord!$B$2)^2+($U138*1000-coord!$C$2)^2+($V138*1000-coord!$D$2)^2))</f>
        <v>-0.4937661203601259</v>
      </c>
      <c r="I138">
        <f t="shared" ref="I138:I144" si="77">$F138*$CA$2+$G138*$CB$2+$H138*$CC$2</f>
        <v>-0.70096999025155415</v>
      </c>
      <c r="J138">
        <f t="shared" ref="J138:J144" si="78">$F138*$CA$3+$G138*$CB$3+$H138*$CC$3</f>
        <v>-0.47072520596342615</v>
      </c>
      <c r="K138">
        <f t="shared" ref="K138:K144" si="79">$F138*$CA$4+$G138*$CB$4+$H138*$CC$4</f>
        <v>-2.3526810492521255E-3</v>
      </c>
      <c r="L138">
        <f t="shared" ref="L138:L144" si="80">90+DEGREES(ATAN2(I138,J138))</f>
        <v>-56.117295420779925</v>
      </c>
      <c r="M138" s="5">
        <f>'sv02'!$AA$3+'sv02'!$Z$3*($B138)+'sv02'!$Y$3*($B138)^2+'sv02'!$X$3*($B138)^3+'sv02'!$W$3*($B138)^4+'sv02'!$V$3*($B138)^5+'sv02'!$U$3*($B138)^6+'sv02'!$T$3*($B138)^7+'sv02'!$S$3*($B138)^8</f>
        <v>8594.1807534999316</v>
      </c>
      <c r="N138" s="5">
        <f>'sv02'!$AA$4+'sv02'!$Z$4*($B138)+'sv02'!$Y$4*($B138)^2+'sv02'!$X$4*($B138)^3+'sv02'!$W$4*($B138)^4+'sv02'!$V$4*($B138)^5+'sv02'!$U$4*($B138)^6+'sv02'!$T$4*($B138)^7+'sv02'!$S$4*($B138)^8</f>
        <v>-14311.539699256811</v>
      </c>
      <c r="O138" s="5">
        <f>'sv02'!$AA$5+'sv02'!$Z$5*($B138)+'sv02'!$Y$5*($B138)^2+'sv02'!$X$5*($B138)^3+'sv02'!$W$5*($B138)^4+'sv02'!$V$5*($B138)^5+'sv02'!$U$5*($B138)^6+'sv02'!$T$5*($B138)^7+'sv02'!$S$5*($B138)^8</f>
        <v>20540.649507272108</v>
      </c>
      <c r="P138" s="5">
        <f>'sv02'!$AA$6+'sv02'!$Z$6*$B138+'sv02'!$Y$6*$B138^2+'sv02'!$X$6*$B138^3+'sv02'!$W$6*$B138^4+'sv02'!$V$6*$B138^5+'sv02'!$U$6*$B138^6+'sv02'!$T$6*$B138^7+'sv02'!$S$6*$B138^8</f>
        <v>257.59345960692946</v>
      </c>
      <c r="R138">
        <f>SQRT(($M138*1000-coord!$B$2)^2+($N138*1000-coord!$C$2)^2+($O138*1000-coord!$D$2)^2)/coord!$B$6</f>
        <v>7.5070303598559429E-2</v>
      </c>
      <c r="T138" s="5">
        <f>'sv02'!$AA$3+'sv02'!$Z$3*($B138-$R138/3600)+'sv02'!$Y$3*($B138-$R138/3600)^2+'sv02'!$X$3*($B138-$R138/3600)^3+'sv02'!$W$3*($B138-$R138/3600)^4+'sv02'!$V$3*($B138-$R138/3600)^5+'sv02'!$U$3*($B138-$R138/3600)^6+'sv02'!$T$3*($B138-$R138/3600)^7+'sv02'!$S$3*($B138-$R138/3600)^8+N138*coord!$B$7*R138</f>
        <v>8593.9063637247855</v>
      </c>
      <c r="U138" s="5">
        <f>'sv02'!$AA$4+'sv02'!$Z$4*($B138-$R138/3600)+'sv02'!$Y$4*($B138-$R138/3600)^2+'sv02'!$X$4*($B138-$R138/3600)^3+'sv02'!$W$4*($B138-$R138/3600)^4+'sv02'!$V$4*($B138-$R138/3600)^5+'sv02'!$U$4*($B138-$R138/3600)^6+'sv02'!$T$4*($B138-$R138/3600)^7+'sv02'!$S$4*($B138-$R138/3600)^8-M138*coord!$B$7*R138</f>
        <v>-14311.612802284206</v>
      </c>
      <c r="V138" s="5">
        <f>'sv02'!$AA$5+'sv02'!$Z$5*($B138-$R138/3600)+'sv02'!$Y$5*($B138-$R138/3600)^2+'sv02'!$X$5*($B138-$R138/3600)^3+'sv02'!$W$5*($B138-$R138/3600)^4+'sv02'!$V$5*($B138-$R138/3600)^5+'sv02'!$U$5*($B138-$R138/3600)^6+'sv02'!$T$5*($B138-$R138/3600)^7+'sv02'!$S$5*($B138-$R138/3600)^8</f>
        <v>20540.716728555686</v>
      </c>
      <c r="W138">
        <f>coord!$B$6*P138/10^6</f>
        <v>77224.576420285099</v>
      </c>
      <c r="X138">
        <f>SQRT(($T138*1000+coord!$B$7*$R138*$U138*1000-coord!$B$2)^2+($U138*1000-coord!$B$7*$R138*$T138*1000-coord!$C$2)^2+($V138*1000-coord!$D$2)^2)</f>
        <v>22505574.123426005</v>
      </c>
      <c r="Y138" s="3">
        <f>$D138-(X138-$W138)-coord!$E$2</f>
        <v>-110.23132045567036</v>
      </c>
      <c r="Z138" s="3"/>
      <c r="AB138">
        <f>-(T138*1000-coord!$B$2)/$X138</f>
        <v>-0.18684385343219392</v>
      </c>
      <c r="AC138">
        <f>-(U138*1000-coord!$C$2)/$X138</f>
        <v>0.67699597139469969</v>
      </c>
      <c r="AD138">
        <f>-(V138*1000-coord!$D$2)/$X138</f>
        <v>-0.71187379474933399</v>
      </c>
      <c r="AE138">
        <v>1</v>
      </c>
      <c r="AG138">
        <f t="array" ref="AG138:AM141">TRANSPOSE(AB138:AE144)</f>
        <v>-0.18684385343219392</v>
      </c>
      <c r="AH138">
        <v>-0.16122137529272926</v>
      </c>
      <c r="AI138">
        <v>-0.17553576621933364</v>
      </c>
      <c r="AJ138">
        <v>-0.85109554659711628</v>
      </c>
      <c r="AK138">
        <v>-0.41938427844473875</v>
      </c>
      <c r="AL138">
        <v>-0.45573410155715105</v>
      </c>
      <c r="AM138">
        <v>-0.96504291417735077</v>
      </c>
      <c r="AO138">
        <f t="array" ref="AO138:AR141">MMULT(AG138:AM141,AB138:AE144)</f>
        <v>2.1309639626089547</v>
      </c>
      <c r="AP138">
        <v>0.27331683602276163</v>
      </c>
      <c r="AQ138">
        <v>1.1245290549406415</v>
      </c>
      <c r="AR138">
        <v>-3.2148578357206139</v>
      </c>
      <c r="AT138">
        <f t="array" ref="AT138:AW141">MINVERSE(AO138:AR141)</f>
        <v>2.6094391090289384</v>
      </c>
      <c r="AU138">
        <v>0.19602947055633471</v>
      </c>
      <c r="AV138">
        <v>1.6685405561910958</v>
      </c>
      <c r="AW138">
        <v>2.0189139069509143</v>
      </c>
      <c r="AY138">
        <f t="array" ref="AY138:AY141">MMULT(AG138:AM141,Y138:Y144)</f>
        <v>-16.094734364410733</v>
      </c>
      <c r="BA138">
        <f t="array" ref="BA138:BA141">MMULT(AT138:AW141,AY138:AY141)</f>
        <v>-2.8632397739183943</v>
      </c>
      <c r="BD138">
        <f>SQRT(($T138*1000+coord!$B$7*$R138*$U138*1000-coord!$B$2-BA$138)^2+($U138*1000-coord!$B$7*$R138*$T138*1000-coord!$C$2-BA$139)^2+($V138*1000-coord!$D$2-BA$140)^2)</f>
        <v>22505458.550198581</v>
      </c>
      <c r="BE138" s="3">
        <f>$D138-(BD138-$W138)-BA$141</f>
        <v>-5.1619224649993356</v>
      </c>
      <c r="BG138" s="1">
        <f>coord!$B$2+$BA138</f>
        <v>4388875.3075602269</v>
      </c>
      <c r="BH138" s="1">
        <f>coord!$C$2+$BA139</f>
        <v>924451.32447858213</v>
      </c>
      <c r="BI138" s="1">
        <f>coord!$D$2+$BA140</f>
        <v>4519638.3124325844</v>
      </c>
      <c r="BJ138" s="1">
        <f>coord!$E$2+$BA141</f>
        <v>10.503829433503526</v>
      </c>
      <c r="BK138" s="8">
        <f>lat($BG138,$BH138,$BI138)</f>
        <v>45.411662317547396</v>
      </c>
      <c r="BL138" s="8">
        <f>lon($BG138,$BH138,$BI138)</f>
        <v>11.894627949428973</v>
      </c>
      <c r="BM138" s="6">
        <f>h($BG138,$BH138,$BI138)</f>
        <v>78.586326776072383</v>
      </c>
      <c r="BO138">
        <f>grado($BK138)</f>
        <v>45</v>
      </c>
      <c r="BP138">
        <f>MINUTOprimo($BK138)</f>
        <v>24</v>
      </c>
      <c r="BQ138">
        <f>MINUTOsecondo($BK138)</f>
        <v>41.984343170626062</v>
      </c>
      <c r="BR138">
        <f>grado($BL138)</f>
        <v>11</v>
      </c>
      <c r="BS138">
        <f>MINUTOprimo($BL138)</f>
        <v>53</v>
      </c>
      <c r="BT138">
        <f>MINUTOsecondo($BL138)</f>
        <v>40.660617944301407</v>
      </c>
      <c r="BV138">
        <f>-SIN(RADIANS(BK138))*COS(RADIANS(BL138))</f>
        <v>-0.69687748382102466</v>
      </c>
      <c r="BW138">
        <f>-SIN(RADIANS(BL138))</f>
        <v>-0.20611243951726568</v>
      </c>
      <c r="BX138">
        <f>COS(RADIANS(BK138))*COS(RADIANS(BL138))</f>
        <v>0.68693481118627187</v>
      </c>
      <c r="BZ138" t="s">
        <v>93</v>
      </c>
      <c r="CA138">
        <f t="array" ref="CA138:CC140">MINVERSE(BV138:BX140)</f>
        <v>-0.69687748382102466</v>
      </c>
      <c r="CB138">
        <v>-0.14678687995711845</v>
      </c>
      <c r="CC138">
        <v>0.70200810851138451</v>
      </c>
      <c r="CD138">
        <v>0</v>
      </c>
      <c r="CE138" s="1">
        <f t="array" ref="CE138:CE140">MMULT(CA138:CC140,BA138:BA140)</f>
        <v>54.57380661729632</v>
      </c>
      <c r="CG138" s="1">
        <f t="array" ref="CG138:CI138">TRANSPOSE(CE138:CE140)</f>
        <v>54.57380661729632</v>
      </c>
      <c r="CH138" s="1">
        <v>-115.74583084719083</v>
      </c>
      <c r="CI138" s="1">
        <v>16.466426682726002</v>
      </c>
      <c r="CK138">
        <f t="array" ref="CK138:CN141">MMULT(CA138:CD141,AT138:AW141)</f>
        <v>-0.6759049150206291</v>
      </c>
      <c r="CL138">
        <v>0.12073867819058606</v>
      </c>
      <c r="CM138">
        <v>0.61815134835976449</v>
      </c>
      <c r="CN138">
        <v>-4.7661414380579803E-3</v>
      </c>
      <c r="CP138">
        <f t="array" ref="CP138:CS141">TRANSPOSE(CA138:CD141)</f>
        <v>-0.69687748382102466</v>
      </c>
      <c r="CQ138">
        <v>-0.20611243951726568</v>
      </c>
      <c r="CR138">
        <v>0.68693481118627187</v>
      </c>
      <c r="CS138">
        <v>0</v>
      </c>
      <c r="CU138" s="5">
        <f t="array" ref="CU138:CX141">MMULT(CK138:CN141,CP138:CS141)</f>
        <v>0.88724732145589702</v>
      </c>
      <c r="CV138" s="5">
        <v>0.25745862618128257</v>
      </c>
      <c r="CW138" s="5">
        <v>-6.604423777384516E-3</v>
      </c>
      <c r="CX138" s="5">
        <v>-4.7661414380579803E-3</v>
      </c>
      <c r="CZ138" s="3">
        <f>SQRT(CU138+CV139)</f>
        <v>1.1826531810604763</v>
      </c>
      <c r="DA138" s="3">
        <f>CW140</f>
        <v>4.3471359416003192</v>
      </c>
      <c r="DB138" s="3">
        <f>CX141</f>
        <v>2.0902570556406475</v>
      </c>
      <c r="DC138" s="3">
        <f>BG145</f>
        <v>3.7499218012556614</v>
      </c>
      <c r="DD138">
        <v>6</v>
      </c>
      <c r="DE138" s="6">
        <f>DB138*DD138*DC138</f>
        <v>47.029803019051997</v>
      </c>
      <c r="DF138">
        <v>5.33</v>
      </c>
      <c r="DG138" s="6">
        <f>DC138*DF138*SQRT(0.5*(CU138+CV139)+SQRT((0.5*(CU138-CV139))^2+CV138^2))</f>
        <v>20.166916954056951</v>
      </c>
    </row>
    <row r="139" spans="1:111">
      <c r="A139">
        <v>38</v>
      </c>
      <c r="B139">
        <f t="shared" si="41"/>
        <v>0.56666666666666665</v>
      </c>
      <c r="C139">
        <v>23</v>
      </c>
      <c r="D139">
        <f>tetto!D139*coord!$B$13-tetto!G139*coord!$B$14</f>
        <v>21263522.979078572</v>
      </c>
      <c r="E139" s="5">
        <f>90-DEGREES(ACOS((coord!$B$2*($T139*1000-coord!$B$2)+coord!$C$2*($U139*1000-coord!$C$2)+coord!$D$2*($V139*1000-coord!$D$2))/(SQRT(coord!$B$2^2+coord!$C$2^2+coord!$D$2^2)*SQRT(($T139*1000-coord!$B$2)^2+($U139*1000-coord!$C$2)^2+($V139*1000-coord!$D$2)^2))))</f>
        <v>48.704008073125124</v>
      </c>
      <c r="F139">
        <f>(coord!$C$2*($V139*1000-coord!$D$2)-coord!$D$2*($U139*1000-coord!$C$2))/(SQRT(coord!$B$2^2+coord!$C$2^2+coord!$D$2^2)*SQRT(($T139*1000-coord!$B$2)^2+($U139*1000-coord!$C$2)^2+($V139*1000-coord!$D$2)^2))</f>
        <v>-0.31846858473105299</v>
      </c>
      <c r="G139">
        <f>(-coord!$B$2*($V139*1000-coord!$D$2)+coord!$D$2*($T139*1000-coord!$B$2))/(SQRT(coord!$B$2^2+coord!$C$2^2+coord!$D$2^2)*SQRT(($T139*1000-coord!$B$2)^2+($U139*1000-coord!$C$2)^2+($V139*1000-coord!$D$2)^2))</f>
        <v>-0.42154032141814446</v>
      </c>
      <c r="H139">
        <f>(coord!$B$2*($U139*1000-coord!$C$2)-coord!$C$2*($T139*1000-coord!$B$2))/(SQRT(coord!$B$2^2+coord!$C$2^2+coord!$D$2^2)*SQRT(($T139*1000-coord!$B$2)^2+($U139*1000-coord!$C$2)^2+($V139*1000-coord!$D$2)^2))</f>
        <v>0.39549253957972619</v>
      </c>
      <c r="I139">
        <f t="shared" si="77"/>
        <v>0.56145426514224095</v>
      </c>
      <c r="J139">
        <f t="shared" si="78"/>
        <v>-0.34684056587710038</v>
      </c>
      <c r="K139">
        <f t="shared" si="79"/>
        <v>1.8870402149424037E-3</v>
      </c>
      <c r="L139">
        <f t="shared" si="80"/>
        <v>58.294139125925554</v>
      </c>
      <c r="M139" s="5">
        <f>'sv23'!$AA$3+'sv23'!$Z$3*($B139)+'sv23'!$Y$3*($B139)^2+'sv23'!$X$3*($B139)^3+'sv23'!$W$3*($B139)^4+'sv23'!$V$3*($B139)^5+'sv23'!$U$3*($B139)^6+'sv23'!$T$3*($B139)^7+'sv23'!$S$3*($B139)^8</f>
        <v>7834.7008856473331</v>
      </c>
      <c r="N139" s="5">
        <f>'sv23'!$AA$4+'sv23'!$Z$4*($B139)+'sv23'!$Y$4*($B139)^2+'sv23'!$X$4*($B139)^3+'sv23'!$W$4*($B139)^4+'sv23'!$V$4*($B139)^5+'sv23'!$U$4*($B139)^6+'sv23'!$T$4*($B139)^7+'sv23'!$S$4*($B139)^8</f>
        <v>13914.968134217335</v>
      </c>
      <c r="O139" s="5">
        <f>'sv23'!$AA$5+'sv23'!$Z$5*($B139)+'sv23'!$Y$5*($B139)^2+'sv23'!$X$5*($B139)^3+'sv23'!$W$5*($B139)^4+'sv23'!$V$5*($B139)^5+'sv23'!$U$5*($B139)^6+'sv23'!$T$5*($B139)^7+'sv23'!$S$5*($B139)^8</f>
        <v>21140.17906728882</v>
      </c>
      <c r="P139" s="5">
        <f>'sv23'!$AA$6+'sv23'!$Z$6*$B139+'sv23'!$Y$6*$B139^2+'sv23'!$X$6*$B139^3+'sv23'!$W$6*$B139^4+'sv23'!$V$6*$B139^5+'sv23'!$U$6*$B139^6+'sv23'!$T$6*$B139^7+'sv23'!$S$6*$B139^8</f>
        <v>370.05601670277417</v>
      </c>
      <c r="R139">
        <f>SQRT(($M139*1000-coord!$B$2)^2+($N139*1000-coord!$C$2)^2+($O139*1000-coord!$D$2)^2)/coord!$B$6</f>
        <v>7.1297573287443072E-2</v>
      </c>
      <c r="T139" s="5">
        <f>'sv23'!$AA$3+'sv23'!$Z$3*($B139-$R139/3600)+'sv23'!$Y$3*($B139-$R139/3600)^2+'sv23'!$X$3*($B139-$R139/3600)^3+'sv23'!$W$3*($B139-$R139/3600)^4+'sv23'!$V$3*($B139-$R139/3600)^5+'sv23'!$U$3*($B139-$R139/3600)^6+'sv23'!$T$3*($B139-$R139/3600)^7+'sv23'!$S$3*($B139-$R139/3600)^8+N139*coord!$B$7*R139</f>
        <v>7834.8916659179222</v>
      </c>
      <c r="U139" s="5">
        <f>'sv23'!$AA$4+'sv23'!$Z$4*($B139-$R139/3600)+'sv23'!$Y$4*($B139-$R139/3600)^2+'sv23'!$X$4*($B139-$R139/3600)^3+'sv23'!$W$4*($B139-$R139/3600)^4+'sv23'!$V$4*($B139-$R139/3600)^5+'sv23'!$U$4*($B139-$R139/3600)^6+'sv23'!$T$4*($B139-$R139/3600)^7+'sv23'!$S$4*($B139-$R139/3600)^8-M139*coord!$B$7*R139</f>
        <v>13914.77599569264</v>
      </c>
      <c r="V139" s="5">
        <f>'sv23'!$AA$5+'sv23'!$Z$5*($B139-$R139/3600)+'sv23'!$Y$5*($B139-$R139/3600)^2+'sv23'!$X$5*($B139-$R139/3600)^3+'sv23'!$W$5*($B139-$R139/3600)^4+'sv23'!$V$5*($B139-$R139/3600)^5+'sv23'!$U$5*($B139-$R139/3600)^6+'sv23'!$T$5*($B139-$R139/3600)^7+'sv23'!$S$5*($B139-$R139/3600)^8</f>
        <v>21140.236968657984</v>
      </c>
      <c r="W139">
        <f>coord!$B$6*P139/10^6</f>
        <v>110940.00284501372</v>
      </c>
      <c r="X139">
        <f>SQRT(($T139*1000+coord!$B$7*$R139*$U139*1000-coord!$B$2)^2+($U139*1000-coord!$B$7*$R139*$T139*1000-coord!$C$2)^2+($V139*1000-coord!$D$2)^2)</f>
        <v>21374420.661410455</v>
      </c>
      <c r="Y139" s="3">
        <f>$D139-(X139-$W139)-coord!$E$2</f>
        <v>42.320513132959604</v>
      </c>
      <c r="Z139" s="3"/>
      <c r="AB139">
        <f>-(T139*1000-coord!$B$2)/$X139</f>
        <v>-0.16122137529272926</v>
      </c>
      <c r="AC139">
        <f>-(U139*1000-coord!$C$2)/$X139</f>
        <v>-0.60774539756042423</v>
      </c>
      <c r="AD139">
        <f>-(V139*1000-coord!$D$2)/$X139</f>
        <v>-0.7775952835234049</v>
      </c>
      <c r="AE139">
        <v>1</v>
      </c>
      <c r="AG139">
        <v>0.67699597139469969</v>
      </c>
      <c r="AH139">
        <v>-0.60774539756042423</v>
      </c>
      <c r="AI139">
        <v>0.73187823064647273</v>
      </c>
      <c r="AJ139">
        <v>0.36589459774772309</v>
      </c>
      <c r="AK139">
        <v>-0.90769684513205851</v>
      </c>
      <c r="AL139">
        <v>-0.24661617253586632</v>
      </c>
      <c r="AM139">
        <v>-0.25765144948615681</v>
      </c>
      <c r="AO139">
        <v>0.27331683602276163</v>
      </c>
      <c r="AP139">
        <v>2.4483199833369609</v>
      </c>
      <c r="AQ139">
        <v>-0.41870818554930433</v>
      </c>
      <c r="AR139">
        <v>-0.2449410649256103</v>
      </c>
      <c r="AT139">
        <v>0.19602947055633455</v>
      </c>
      <c r="AU139">
        <v>0.50091951993424677</v>
      </c>
      <c r="AV139">
        <v>0.47132734197193688</v>
      </c>
      <c r="AW139">
        <v>0.33739058506379949</v>
      </c>
      <c r="AY139">
        <v>-315.38439894635655</v>
      </c>
      <c r="BA139">
        <v>-118.88872141781611</v>
      </c>
      <c r="BD139">
        <f>SQRT(($T139*1000+coord!$B$7*$R139*$U139*1000-coord!$B$2-BA$138)^2+($U139*1000-coord!$B$7*$R139*$T139*1000-coord!$C$2-BA$139)^2+($V139*1000-coord!$D$2-BA$140)^2)</f>
        <v>21374454.467829067</v>
      </c>
      <c r="BE139" s="3">
        <f t="shared" ref="BE139:BE144" si="81">$D139-(BD139-$W139)-BA$141</f>
        <v>-1.9897349131432946</v>
      </c>
      <c r="BG139" s="1"/>
      <c r="BH139" s="1"/>
      <c r="BI139" s="1"/>
      <c r="BV139">
        <f>-SIN(RADIANS(BK138))*SIN(RADIANS(BL138))</f>
        <v>-0.14678687995711845</v>
      </c>
      <c r="BW139">
        <f>COS(RADIANS(BL138))</f>
        <v>0.97852831449899369</v>
      </c>
      <c r="BX139">
        <f>COS(RADIANS(BK138))*SIN(RADIANS(BL138))</f>
        <v>0.14469260380618285</v>
      </c>
      <c r="BZ139" t="s">
        <v>94</v>
      </c>
      <c r="CA139">
        <v>-0.20611243951726568</v>
      </c>
      <c r="CB139">
        <v>0.97852831449899369</v>
      </c>
      <c r="CC139">
        <v>-2.8364611636036062E-17</v>
      </c>
      <c r="CD139">
        <v>0</v>
      </c>
      <c r="CE139" s="1">
        <v>-115.74583084719083</v>
      </c>
      <c r="CG139" s="1"/>
      <c r="CH139" s="1"/>
      <c r="CI139" s="1"/>
      <c r="CK139">
        <v>-0.34601747311809467</v>
      </c>
      <c r="CL139">
        <v>0.44975982114725938</v>
      </c>
      <c r="CM139">
        <v>0.11730018504704808</v>
      </c>
      <c r="CN139">
        <v>-8.597703000667789E-2</v>
      </c>
      <c r="CP139">
        <v>-0.14678687995711845</v>
      </c>
      <c r="CQ139">
        <v>0.97852831449899369</v>
      </c>
      <c r="CR139">
        <v>0.14469260380618285</v>
      </c>
      <c r="CS139">
        <v>0</v>
      </c>
      <c r="CU139" s="5">
        <v>0.25745862618128262</v>
      </c>
      <c r="CV139" s="5">
        <v>0.51142122521656697</v>
      </c>
      <c r="CW139" s="5">
        <v>-8.9076978150080255E-2</v>
      </c>
      <c r="CX139" s="5">
        <v>-8.597703000667789E-2</v>
      </c>
    </row>
    <row r="140" spans="1:111">
      <c r="A140">
        <v>38</v>
      </c>
      <c r="B140">
        <f t="shared" si="41"/>
        <v>0.56666666666666665</v>
      </c>
      <c r="C140">
        <v>10</v>
      </c>
      <c r="D140">
        <f>tetto!D140*coord!$B$13-tetto!G140*coord!$B$14</f>
        <v>22686173.077647917</v>
      </c>
      <c r="E140" s="5">
        <f>90-DEGREES(ACOS((coord!$B$2*($T140*1000-coord!$B$2)+coord!$C$2*($U140*1000-coord!$C$2)+coord!$D$2*($V140*1000-coord!$D$2))/(SQRT(coord!$B$2^2+coord!$C$2^2+coord!$D$2^2)*SQRT(($T140*1000-coord!$B$2)^2+($U140*1000-coord!$C$2)^2+($V140*1000-coord!$D$2)^2))))</f>
        <v>28.821394146638333</v>
      </c>
      <c r="F140">
        <f>(coord!$C$2*($V140*1000-coord!$D$2)-coord!$D$2*($U140*1000-coord!$C$2))/(SQRT(coord!$B$2^2+coord!$C$2^2+coord!$D$2^2)*SQRT(($T140*1000-coord!$B$2)^2+($U140*1000-coord!$C$2)^2+($V140*1000-coord!$D$2)^2))</f>
        <v>0.61509630264413362</v>
      </c>
      <c r="G140">
        <f>(-coord!$B$2*($V140*1000-coord!$D$2)+coord!$D$2*($T140*1000-coord!$B$2))/(SQRT(coord!$B$2^2+coord!$C$2^2+coord!$D$2^2)*SQRT(($T140*1000-coord!$B$2)^2+($U140*1000-coord!$C$2)^2+($V140*1000-coord!$D$2)^2))</f>
        <v>-0.32924811551377842</v>
      </c>
      <c r="H140">
        <f>(coord!$B$2*($U140*1000-coord!$C$2)-coord!$C$2*($T140*1000-coord!$B$2))/(SQRT(coord!$B$2^2+coord!$C$2^2+coord!$D$2^2)*SQRT(($T140*1000-coord!$B$2)^2+($U140*1000-coord!$C$2)^2+($V140*1000-coord!$D$2)^2))</f>
        <v>-0.52995308198274405</v>
      </c>
      <c r="I140">
        <f t="shared" si="77"/>
        <v>-0.75234223207030415</v>
      </c>
      <c r="J140">
        <f t="shared" si="78"/>
        <v>-0.44896864129929015</v>
      </c>
      <c r="K140">
        <f t="shared" si="79"/>
        <v>-2.5253063594360414E-3</v>
      </c>
      <c r="L140">
        <f t="shared" si="80"/>
        <v>-59.172887339529154</v>
      </c>
      <c r="M140" s="5">
        <f>'sv10'!$AA$3+'sv10'!$Z$3*($B140)+'sv10'!$Y$3*($B140)^2+'sv10'!$X$3*($B140)^3+'sv10'!$W$3*($B140)^4+'sv10'!$V$3*($B140)^5+'sv10'!$U$3*($B140)^6+'sv10'!$T$3*($B140)^7+'sv10'!$S$3*($B140)^8</f>
        <v>8369.0396819088455</v>
      </c>
      <c r="N140" s="5">
        <f>'sv10'!$AA$4+'sv10'!$Z$4*($B140)+'sv10'!$Y$4*($B140)^2+'sv10'!$X$4*($B140)^3+'sv10'!$W$4*($B140)^4+'sv10'!$V$4*($B140)^5+'sv10'!$U$4*($B140)^6+'sv10'!$T$4*($B140)^7+'sv10'!$S$4*($B140)^8</f>
        <v>-15669.370514031876</v>
      </c>
      <c r="O140" s="5">
        <f>'sv10'!$AA$5+'sv10'!$Z$5*($B140)+'sv10'!$Y$5*($B140)^2+'sv10'!$X$5*($B140)^3+'sv10'!$W$5*($B140)^4+'sv10'!$V$5*($B140)^5+'sv10'!$U$5*($B140)^6+'sv10'!$T$5*($B140)^7+'sv10'!$S$5*($B140)^8</f>
        <v>19448.697335138117</v>
      </c>
      <c r="P140" s="5">
        <f>'sv10'!$AA$6+'sv10'!$Z$6*$B140+'sv10'!$Y$6*$B140^2+'sv10'!$X$6*$B140^3+'sv10'!$W$6*$B140^4+'sv10'!$V$6*$B140^5+'sv10'!$U$6*$B140^6+'sv10'!$T$6*$B140^7+'sv10'!$S$6*$B140^8</f>
        <v>-43.001789360828631</v>
      </c>
      <c r="R140">
        <f>SQRT(($M140*1000-coord!$B$2)^2+($N140*1000-coord!$C$2)^2+($O140*1000-coord!$D$2)^2)/coord!$B$6</f>
        <v>7.5630011459884891E-2</v>
      </c>
      <c r="T140" s="5">
        <f>'sv10'!$AA$3+'sv10'!$Z$3*($B140-$R140/3600)+'sv10'!$Y$3*($B140-$R140/3600)^2+'sv10'!$X$3*($B140-$R140/3600)^3+'sv10'!$W$3*($B140-$R140/3600)^4+'sv10'!$V$3*($B140-$R140/3600)^5+'sv10'!$U$3*($B140-$R140/3600)^6+'sv10'!$T$3*($B140-$R140/3600)^7+'sv10'!$S$3*($B140-$R140/3600)^8+N140*coord!$B$7*R140</f>
        <v>8368.8685009998298</v>
      </c>
      <c r="U140" s="5">
        <f>'sv10'!$AA$4+'sv10'!$Z$4*($B140-$R140/3600)+'sv10'!$Y$4*($B140-$R140/3600)^2+'sv10'!$X$4*($B140-$R140/3600)^3+'sv10'!$W$4*($B140-$R140/3600)^4+'sv10'!$V$4*($B140-$R140/3600)^5+'sv10'!$U$4*($B140-$R140/3600)^6+'sv10'!$T$4*($B140-$R140/3600)^7+'sv10'!$S$4*($B140-$R140/3600)^8-M140*coord!$B$7*R140</f>
        <v>-15669.588023572467</v>
      </c>
      <c r="V140" s="5">
        <f>'sv10'!$AA$5+'sv10'!$Z$5*($B140-$R140/3600)+'sv10'!$Y$5*($B140-$R140/3600)^2+'sv10'!$X$5*($B140-$R140/3600)^3+'sv10'!$W$5*($B140-$R140/3600)^4+'sv10'!$V$5*($B140-$R140/3600)^5+'sv10'!$U$5*($B140-$R140/3600)^6+'sv10'!$T$5*($B140-$R140/3600)^7+'sv10'!$S$5*($B140-$R140/3600)^8</f>
        <v>19448.59413093112</v>
      </c>
      <c r="W140">
        <f>coord!$B$6*P140/10^6</f>
        <v>-12891.612130881063</v>
      </c>
      <c r="X140">
        <f>SQRT(($T140*1000+coord!$B$7*$R140*$U140*1000-coord!$B$2)^2+($U140*1000-coord!$B$7*$R140*$T140*1000-coord!$C$2)^2+($V140*1000-coord!$D$2)^2)</f>
        <v>22673386.831187397</v>
      </c>
      <c r="Y140" s="3">
        <f>$D140-(X140-$W140)-coord!$E$2</f>
        <v>-105.36567036062479</v>
      </c>
      <c r="Z140" s="3"/>
      <c r="AB140">
        <f>-(T140*1000-coord!$B$2)/$X140</f>
        <v>-0.17553576621933364</v>
      </c>
      <c r="AC140">
        <f>-(U140*1000-coord!$C$2)/$X140</f>
        <v>0.73187823064647273</v>
      </c>
      <c r="AD140">
        <f>-(V140*1000-coord!$D$2)/$X140</f>
        <v>-0.65843739921978361</v>
      </c>
      <c r="AE140">
        <v>1</v>
      </c>
      <c r="AG140">
        <v>-0.71187379474933399</v>
      </c>
      <c r="AH140">
        <v>-0.7775952835234049</v>
      </c>
      <c r="AI140">
        <v>-0.65843739921978361</v>
      </c>
      <c r="AJ140">
        <v>-0.37650544463944774</v>
      </c>
      <c r="AK140">
        <v>1.4318298777638053E-2</v>
      </c>
      <c r="AL140">
        <v>-0.85527025768201781</v>
      </c>
      <c r="AM140">
        <v>-4.8041860736787262E-2</v>
      </c>
      <c r="AO140">
        <v>1.1245290549406415</v>
      </c>
      <c r="AP140">
        <v>-0.41870818554930433</v>
      </c>
      <c r="AQ140">
        <v>2.420715130881526</v>
      </c>
      <c r="AR140">
        <v>-3.4134057417731376</v>
      </c>
      <c r="AT140">
        <v>1.6685405561910949</v>
      </c>
      <c r="AU140">
        <v>0.47132734197193693</v>
      </c>
      <c r="AV140">
        <v>2.6354458593095971</v>
      </c>
      <c r="AW140">
        <v>2.0679163043799078</v>
      </c>
      <c r="AY140">
        <v>131.83411747943211</v>
      </c>
      <c r="BA140">
        <v>50.038132584461252</v>
      </c>
      <c r="BD140">
        <f>SQRT(($T140*1000+coord!$B$7*$R140*$U140*1000-coord!$B$2-BA$138)^2+($U140*1000-coord!$B$7*$R140*$T140*1000-coord!$C$2-BA$139)^2+($V140*1000-coord!$D$2-BA$140)^2)</f>
        <v>22673267.374542914</v>
      </c>
      <c r="BE140" s="3">
        <f t="shared" si="81"/>
        <v>3.5871446887823168</v>
      </c>
      <c r="BG140" s="1"/>
      <c r="BH140" s="1"/>
      <c r="BI140" s="1"/>
      <c r="BV140">
        <f>COS(RADIANS(BK138))</f>
        <v>0.70200810851138462</v>
      </c>
      <c r="BW140">
        <v>0</v>
      </c>
      <c r="BX140">
        <f>SIN(RADIANS(BK138))</f>
        <v>0.71216895157277671</v>
      </c>
      <c r="BZ140" t="s">
        <v>95</v>
      </c>
      <c r="CA140">
        <v>0.68693481118627187</v>
      </c>
      <c r="CB140">
        <v>0.14469260380618285</v>
      </c>
      <c r="CC140">
        <v>0.71216895157277682</v>
      </c>
      <c r="CD140">
        <v>0</v>
      </c>
      <c r="CE140" s="1">
        <v>16.466426682726002</v>
      </c>
      <c r="CG140" s="1"/>
      <c r="CH140" s="1"/>
      <c r="CI140" s="1"/>
      <c r="CK140">
        <v>3.0091613547396809</v>
      </c>
      <c r="CL140">
        <v>0.54280351595992793</v>
      </c>
      <c r="CM140">
        <v>3.0912588868300661</v>
      </c>
      <c r="CN140">
        <v>2.9083859521557276</v>
      </c>
      <c r="CP140">
        <v>0.70200810851138451</v>
      </c>
      <c r="CQ140">
        <v>-2.8364611636036062E-17</v>
      </c>
      <c r="CR140">
        <v>0.71216895157277682</v>
      </c>
      <c r="CS140">
        <v>0</v>
      </c>
      <c r="CU140" s="5">
        <v>-6.6044237773841274E-3</v>
      </c>
      <c r="CV140" s="5">
        <v>-8.907697815007995E-2</v>
      </c>
      <c r="CW140" s="5">
        <v>4.3471359416003192</v>
      </c>
      <c r="CX140" s="5">
        <v>2.9083859521557276</v>
      </c>
    </row>
    <row r="141" spans="1:111">
      <c r="A141">
        <v>38</v>
      </c>
      <c r="B141">
        <f t="shared" si="41"/>
        <v>0.56666666666666665</v>
      </c>
      <c r="C141">
        <v>4</v>
      </c>
      <c r="D141">
        <f>tetto!D141*coord!$B$13-tetto!G141*coord!$B$14</f>
        <v>21240473.835394595</v>
      </c>
      <c r="E141" s="5">
        <f>90-DEGREES(ACOS((coord!$B$2*($T141*1000-coord!$B$2)+coord!$C$2*($U141*1000-coord!$C$2)+coord!$D$2*($V141*1000-coord!$D$2))/(SQRT(coord!$B$2^2+coord!$C$2^2+coord!$D$2^2)*SQRT(($T141*1000-coord!$B$2)^2+($U141*1000-coord!$C$2)^2+($V141*1000-coord!$D$2)^2))))</f>
        <v>53.202050338238564</v>
      </c>
      <c r="F141">
        <f>(coord!$C$2*($V141*1000-coord!$D$2)-coord!$D$2*($U141*1000-coord!$C$2))/(SQRT(coord!$B$2^2+coord!$C$2^2+coord!$D$2^2)*SQRT(($T141*1000-coord!$B$2)^2+($U141*1000-coord!$C$2)^2+($V141*1000-coord!$D$2)^2))</f>
        <v>0.3143826967996981</v>
      </c>
      <c r="G141">
        <f>(-coord!$B$2*($V141*1000-coord!$D$2)+coord!$D$2*($T141*1000-coord!$B$2))/(SQRT(coord!$B$2^2+coord!$C$2^2+coord!$D$2^2)*SQRT(($T141*1000-coord!$B$2)^2+($U141*1000-coord!$C$2)^2+($V141*1000-coord!$D$2)^2))</f>
        <v>0.34459384091404061</v>
      </c>
      <c r="H141">
        <f>(coord!$B$2*($U141*1000-coord!$C$2)-coord!$C$2*($T141*1000-coord!$B$2))/(SQRT(coord!$B$2^2+coord!$C$2^2+coord!$D$2^2)*SQRT(($T141*1000-coord!$B$2)^2+($U141*1000-coord!$C$2)^2+($V141*1000-coord!$D$2)^2))</f>
        <v>-0.37578391064521921</v>
      </c>
      <c r="I141">
        <f t="shared" si="77"/>
        <v>-0.53347545398910512</v>
      </c>
      <c r="J141">
        <f t="shared" si="78"/>
        <v>0.27238881881026067</v>
      </c>
      <c r="K141">
        <f t="shared" si="79"/>
        <v>-1.792796983833389E-3</v>
      </c>
      <c r="L141">
        <f t="shared" si="80"/>
        <v>242.95146279029274</v>
      </c>
      <c r="M141" s="5">
        <f>'sv04'!$AA$3+'sv04'!$Z$3*($B141)+'sv04'!$Y$3*($B141)^2+'sv04'!$X$3*($B141)^3+'sv04'!$W$3*($B141)^4+'sv04'!$V$3*($B141)^5+'sv04'!$U$3*($B141)^6+'sv04'!$T$3*($B141)^7+'sv04'!$S$3*($B141)^8</f>
        <v>22488.834293928136</v>
      </c>
      <c r="N141" s="5">
        <f>'sv04'!$AA$4+'sv04'!$Z$4*($B141)+'sv04'!$Y$4*($B141)^2+'sv04'!$X$4*($B141)^3+'sv04'!$W$4*($B141)^4+'sv04'!$V$4*($B141)^5+'sv04'!$U$4*($B141)^6+'sv04'!$T$4*($B141)^7+'sv04'!$S$4*($B141)^8</f>
        <v>-6856.5742779299862</v>
      </c>
      <c r="O141" s="5">
        <f>'sv04'!$AA$5+'sv04'!$Z$5*($B141)+'sv04'!$Y$5*($B141)^2+'sv04'!$X$5*($B141)^3+'sv04'!$W$5*($B141)^4+'sv04'!$V$5*($B141)^5+'sv04'!$U$5*($B141)^6+'sv04'!$T$5*($B141)^7+'sv04'!$S$5*($B141)^8</f>
        <v>12526.356351929058</v>
      </c>
      <c r="P141" s="5">
        <f>'sv04'!$AA$6+'sv04'!$Z$6*$B141+'sv04'!$Y$6*$B141^2+'sv04'!$X$6*$B141^3+'sv04'!$W$6*$B141^4+'sv04'!$V$6*$B141^5+'sv04'!$U$6*$B141^6+'sv04'!$T$6*$B141^7+'sv04'!$S$6*$B141^8</f>
        <v>86.604222213186276</v>
      </c>
      <c r="R141">
        <f>SQRT(($M141*1000-coord!$B$2)^2+($N141*1000-coord!$C$2)^2+($O141*1000-coord!$D$2)^2)/coord!$B$6</f>
        <v>7.0937324708372676E-2</v>
      </c>
      <c r="T141" s="5">
        <f>'sv04'!$AA$3+'sv04'!$Z$3*($B141-$R141/3600)+'sv04'!$Y$3*($B141-$R141/3600)^2+'sv04'!$X$3*($B141-$R141/3600)^3+'sv04'!$W$3*($B141-$R141/3600)^4+'sv04'!$V$3*($B141-$R141/3600)^5+'sv04'!$U$3*($B141-$R141/3600)^6+'sv04'!$T$3*($B141-$R141/3600)^7+'sv04'!$S$3*($B141-$R141/3600)^8+N141*coord!$B$7*R141</f>
        <v>22488.68725804747</v>
      </c>
      <c r="U141" s="5">
        <f>'sv04'!$AA$4+'sv04'!$Z$4*($B141-$R141/3600)+'sv04'!$Y$4*($B141-$R141/3600)^2+'sv04'!$X$4*($B141-$R141/3600)^3+'sv04'!$W$4*($B141-$R141/3600)^4+'sv04'!$V$4*($B141-$R141/3600)^5+'sv04'!$U$4*($B141-$R141/3600)^6+'sv04'!$T$4*($B141-$R141/3600)^7+'sv04'!$S$4*($B141-$R141/3600)^8-M141*coord!$B$7*R141</f>
        <v>-6856.7210786741316</v>
      </c>
      <c r="V141" s="5">
        <f>'sv04'!$AA$5+'sv04'!$Z$5*($B141-$R141/3600)+'sv04'!$Y$5*($B141-$R141/3600)^2+'sv04'!$X$5*($B141-$R141/3600)^3+'sv04'!$W$5*($B141-$R141/3600)^4+'sv04'!$V$5*($B141-$R141/3600)^5+'sv04'!$U$5*($B141-$R141/3600)^6+'sv04'!$T$5*($B141-$R141/3600)^7+'sv04'!$S$5*($B141-$R141/3600)^8</f>
        <v>12526.534962635915</v>
      </c>
      <c r="W141">
        <f>coord!$B$6*P141/10^6</f>
        <v>25963.292650469313</v>
      </c>
      <c r="X141">
        <f>SQRT(($T141*1000+coord!$B$7*$R141*$U141*1000-coord!$B$2)^2+($U141*1000-coord!$B$7*$R141*$T141*1000-coord!$C$2)^2+($V141*1000-coord!$D$2)^2)</f>
        <v>21266483.134137921</v>
      </c>
      <c r="Y141" s="3">
        <f>$D141-(X141-$W141)-coord!$E$2</f>
        <v>-46.006092857569456</v>
      </c>
      <c r="Z141" s="3"/>
      <c r="AB141">
        <f>-(T141*1000-coord!$B$2)/$X141</f>
        <v>-0.85109554659711628</v>
      </c>
      <c r="AC141">
        <f>-(U141*1000-coord!$C$2)/$X141</f>
        <v>0.36589459774772309</v>
      </c>
      <c r="AD141">
        <f>-(V141*1000-coord!$D$2)/$X141</f>
        <v>-0.37650544463944774</v>
      </c>
      <c r="AE141">
        <v>1</v>
      </c>
      <c r="AG141">
        <v>1</v>
      </c>
      <c r="AH141">
        <v>1</v>
      </c>
      <c r="AI141">
        <v>1</v>
      </c>
      <c r="AJ141">
        <v>1</v>
      </c>
      <c r="AK141">
        <v>1</v>
      </c>
      <c r="AL141">
        <v>1</v>
      </c>
      <c r="AM141">
        <v>1</v>
      </c>
      <c r="AO141">
        <v>-3.2148578357206139</v>
      </c>
      <c r="AP141">
        <v>-0.2449410649256103</v>
      </c>
      <c r="AQ141">
        <v>-3.4134057417731376</v>
      </c>
      <c r="AR141">
        <v>7</v>
      </c>
      <c r="AT141">
        <v>2.0189139069509143</v>
      </c>
      <c r="AU141">
        <v>0.33739058506379954</v>
      </c>
      <c r="AV141">
        <v>2.0679163043799083</v>
      </c>
      <c r="AW141">
        <v>2.0902570556406475</v>
      </c>
      <c r="AY141">
        <v>-58.948004182428122</v>
      </c>
      <c r="BA141">
        <v>10.503829433503526</v>
      </c>
      <c r="BD141">
        <f>SQRT(($T141*1000+coord!$B$7*$R141*$U141*1000-coord!$B$2-BA$138)^2+($U141*1000-coord!$B$7*$R141*$T141*1000-coord!$C$2-BA$139)^2+($V141*1000-coord!$D$2-BA$140)^2)</f>
        <v>21266423.230310187</v>
      </c>
      <c r="BE141" s="3">
        <f t="shared" si="81"/>
        <v>3.3939054432185713</v>
      </c>
      <c r="BG141" s="1"/>
      <c r="BH141" s="1"/>
      <c r="BI141" s="1"/>
      <c r="CA141">
        <v>0</v>
      </c>
      <c r="CB141">
        <v>0</v>
      </c>
      <c r="CC141">
        <v>0</v>
      </c>
      <c r="CD141">
        <v>1</v>
      </c>
      <c r="CG141" s="1"/>
      <c r="CH141" s="1"/>
      <c r="CI141" s="1"/>
      <c r="CK141">
        <v>2.0189139069509143</v>
      </c>
      <c r="CL141">
        <v>0.33739058506379954</v>
      </c>
      <c r="CM141">
        <v>2.0679163043799083</v>
      </c>
      <c r="CN141">
        <v>2.0902570556406475</v>
      </c>
      <c r="CP141">
        <v>0</v>
      </c>
      <c r="CQ141">
        <v>0</v>
      </c>
      <c r="CR141">
        <v>0</v>
      </c>
      <c r="CS141">
        <v>1</v>
      </c>
      <c r="CU141" s="5">
        <v>-4.7661414380575362E-3</v>
      </c>
      <c r="CV141" s="5">
        <v>-8.5977030006677835E-2</v>
      </c>
      <c r="CW141" s="5">
        <v>2.9083859521557276</v>
      </c>
      <c r="CX141" s="5">
        <v>2.0902570556406475</v>
      </c>
    </row>
    <row r="142" spans="1:111">
      <c r="A142">
        <v>38</v>
      </c>
      <c r="B142">
        <f t="shared" si="41"/>
        <v>0.56666666666666665</v>
      </c>
      <c r="C142">
        <v>20</v>
      </c>
      <c r="D142">
        <f>tetto!D142*coord!$B$13-tetto!G142*coord!$B$14</f>
        <v>23291291.811310865</v>
      </c>
      <c r="E142" s="5">
        <f>90-DEGREES(ACOS((coord!$B$2*($T142*1000-coord!$B$2)+coord!$C$2*($U142*1000-coord!$C$2)+coord!$D$2*($V142*1000-coord!$D$2))/(SQRT(coord!$B$2^2+coord!$C$2^2+coord!$D$2^2)*SQRT(($T142*1000-coord!$B$2)^2+($U142*1000-coord!$C$2)^2+($V142*1000-coord!$D$2)^2))))</f>
        <v>24.249312958804182</v>
      </c>
      <c r="F142">
        <f>(coord!$C$2*($V142*1000-coord!$D$2)-coord!$D$2*($U142*1000-coord!$C$2))/(SQRT(coord!$B$2^2+coord!$C$2^2+coord!$D$2^2)*SQRT(($T142*1000-coord!$B$2)^2+($U142*1000-coord!$C$2)^2+($V142*1000-coord!$D$2)^2))</f>
        <v>-0.64636301372146709</v>
      </c>
      <c r="G142">
        <f>(-coord!$B$2*($V142*1000-coord!$D$2)+coord!$D$2*($T142*1000-coord!$B$2))/(SQRT(coord!$B$2^2+coord!$C$2^2+coord!$D$2^2)*SQRT(($T142*1000-coord!$B$2)^2+($U142*1000-coord!$C$2)^2+($V142*1000-coord!$D$2)^2))</f>
        <v>0.30754850908380893</v>
      </c>
      <c r="H142">
        <f>(coord!$B$2*($U142*1000-coord!$C$2)-coord!$C$2*($T142*1000-coord!$B$2))/(SQRT(coord!$B$2^2+coord!$C$2^2+coord!$D$2^2)*SQRT(($T142*1000-coord!$B$2)^2+($U142*1000-coord!$C$2)^2+($V142*1000-coord!$D$2)^2))</f>
        <v>0.56475461387398551</v>
      </c>
      <c r="I142">
        <f t="shared" si="77"/>
        <v>0.80174769314968131</v>
      </c>
      <c r="J142">
        <f t="shared" si="78"/>
        <v>0.43418014495061263</v>
      </c>
      <c r="K142">
        <f t="shared" si="79"/>
        <v>2.6913005323058736E-3</v>
      </c>
      <c r="L142">
        <f t="shared" si="80"/>
        <v>118.43741108055269</v>
      </c>
      <c r="M142" s="5">
        <f>'sv20'!$AA$3+'sv20'!$Z$3*($B142)+'sv20'!$Y$3*($B142)^2+'sv20'!$X$3*($B142)^3+'sv20'!$W$3*($B142)^4+'sv20'!$V$3*($B142)^5+'sv20'!$U$3*($B142)^6+'sv20'!$T$3*($B142)^7+'sv20'!$S$3*($B142)^8</f>
        <v>14163.715477275493</v>
      </c>
      <c r="N142" s="5">
        <f>'sv20'!$AA$4+'sv20'!$Z$4*($B142)+'sv20'!$Y$4*($B142)^2+'sv20'!$X$4*($B142)^3+'sv20'!$W$4*($B142)^4+'sv20'!$V$4*($B142)^5+'sv20'!$U$4*($B142)^6+'sv20'!$T$4*($B142)^7+'sv20'!$S$4*($B142)^8</f>
        <v>22081.210501601461</v>
      </c>
      <c r="O142" s="5">
        <f>'sv20'!$AA$5+'sv20'!$Z$5*($B142)+'sv20'!$Y$5*($B142)^2+'sv20'!$X$5*($B142)^3+'sv20'!$W$5*($B142)^4+'sv20'!$V$5*($B142)^5+'sv20'!$U$5*($B142)^6+'sv20'!$T$5*($B142)^7+'sv20'!$S$5*($B142)^8</f>
        <v>4185.6208837944532</v>
      </c>
      <c r="P142" s="5">
        <f>'sv20'!$AA$6+'sv20'!$Z$6*$B142+'sv20'!$Y$6*$B142^2+'sv20'!$X$6*$B142^3+'sv20'!$W$6*$B142^4+'sv20'!$V$6*$B142^5+'sv20'!$U$6*$B142^6+'sv20'!$T$6*$B142^7+'sv20'!$S$6*$B142^8</f>
        <v>55.817656744081063</v>
      </c>
      <c r="R142">
        <f>SQRT(($M142*1000-coord!$B$2)^2+($N142*1000-coord!$C$2)^2+($O142*1000-coord!$D$2)^2)/coord!$B$6</f>
        <v>7.7747086599146489E-2</v>
      </c>
      <c r="T142" s="5">
        <f>'sv20'!$AA$3+'sv20'!$Z$3*($B142-$R142/3600)+'sv20'!$Y$3*($B142-$R142/3600)^2+'sv20'!$X$3*($B142-$R142/3600)^3+'sv20'!$W$3*($B142-$R142/3600)^4+'sv20'!$V$3*($B142-$R142/3600)^5+'sv20'!$U$3*($B142-$R142/3600)^6+'sv20'!$T$3*($B142-$R142/3600)^7+'sv20'!$S$3*($B142-$R142/3600)^8+N142*coord!$B$7*R142</f>
        <v>14163.846163093429</v>
      </c>
      <c r="U142" s="5">
        <f>'sv20'!$AA$4+'sv20'!$Z$4*($B142-$R142/3600)+'sv20'!$Y$4*($B142-$R142/3600)^2+'sv20'!$X$4*($B142-$R142/3600)^3+'sv20'!$W$4*($B142-$R142/3600)^4+'sv20'!$V$4*($B142-$R142/3600)^5+'sv20'!$U$4*($B142-$R142/3600)^6+'sv20'!$T$4*($B142-$R142/3600)^7+'sv20'!$S$4*($B142-$R142/3600)^8-M142*coord!$B$7*R142</f>
        <v>22081.080039404016</v>
      </c>
      <c r="V142" s="5">
        <f>'sv20'!$AA$5+'sv20'!$Z$5*($B142-$R142/3600)+'sv20'!$Y$5*($B142-$R142/3600)^2+'sv20'!$X$5*($B142-$R142/3600)^3+'sv20'!$W$5*($B142-$R142/3600)^4+'sv20'!$V$5*($B142-$R142/3600)^5+'sv20'!$U$5*($B142-$R142/3600)^6+'sv20'!$T$5*($B142-$R142/3600)^7+'sv20'!$S$5*($B142-$R142/3600)^8</f>
        <v>4185.8587583187555</v>
      </c>
      <c r="W142">
        <f>coord!$B$6*P142/10^6</f>
        <v>16733.712515108338</v>
      </c>
      <c r="X142">
        <f>SQRT(($T142*1000+coord!$B$7*$R142*$U142*1000-coord!$B$2)^2+($U142*1000-coord!$B$7*$R142*$T142*1000-coord!$C$2)^2+($V142*1000-coord!$D$2)^2)</f>
        <v>23307902.786779005</v>
      </c>
      <c r="Y142" s="3">
        <f>$D142-(X142-$W142)-coord!$E$2</f>
        <v>122.73704696819186</v>
      </c>
      <c r="Z142" s="3"/>
      <c r="AB142">
        <f>-(T142*1000-coord!$B$2)/$X142</f>
        <v>-0.41938427844473875</v>
      </c>
      <c r="AC142">
        <f>-(U142*1000-coord!$C$2)/$X142</f>
        <v>-0.90769684513205851</v>
      </c>
      <c r="AD142">
        <f>-(V142*1000-coord!$D$2)/$X142</f>
        <v>1.4318298777638053E-2</v>
      </c>
      <c r="AE142">
        <v>1</v>
      </c>
      <c r="BD142">
        <f>SQRT(($T142*1000+coord!$B$7*$R142*$U142*1000-coord!$B$2-BA$138)^2+($U142*1000-coord!$B$7*$R142*$T142*1000-coord!$C$2-BA$139)^2+($V142*1000-coord!$D$2-BA$140)^2)</f>
        <v>23308012.618659142</v>
      </c>
      <c r="BE142" s="3">
        <f t="shared" si="81"/>
        <v>2.4013373973640029</v>
      </c>
      <c r="BG142" s="1"/>
      <c r="BH142" s="1"/>
      <c r="BI142" s="1"/>
      <c r="CG142" s="1"/>
      <c r="CH142" s="1"/>
      <c r="CI142" s="1"/>
    </row>
    <row r="143" spans="1:111">
      <c r="A143">
        <v>38</v>
      </c>
      <c r="B143">
        <f t="shared" si="41"/>
        <v>0.56666666666666665</v>
      </c>
      <c r="C143">
        <v>13</v>
      </c>
      <c r="D143">
        <f>tetto!D143*coord!$B$13-tetto!G143*coord!$B$14</f>
        <v>20197619.412687857</v>
      </c>
      <c r="E143" s="5">
        <f>90-DEGREES(ACOS((coord!$B$2*($T143*1000-coord!$B$2)+coord!$C$2*($U143*1000-coord!$C$2)+coord!$D$2*($V143*1000-coord!$D$2))/(SQRT(coord!$B$2^2+coord!$C$2^2+coord!$D$2^2)*SQRT(($T143*1000-coord!$B$2)^2+($U143*1000-coord!$C$2)^2+($V143*1000-coord!$D$2)^2))))</f>
        <v>73.138138704985337</v>
      </c>
      <c r="F143">
        <f>(coord!$C$2*($V143*1000-coord!$D$2)-coord!$D$2*($U143*1000-coord!$C$2))/(SQRT(coord!$B$2^2+coord!$C$2^2+coord!$D$2^2)*SQRT(($T143*1000-coord!$B$2)^2+($U143*1000-coord!$C$2)^2+($V143*1000-coord!$D$2)^2))</f>
        <v>-5.0860036530132227E-2</v>
      </c>
      <c r="G143">
        <f>(-coord!$B$2*($V143*1000-coord!$D$2)+coord!$D$2*($T143*1000-coord!$B$2))/(SQRT(coord!$B$2^2+coord!$C$2^2+coord!$D$2^2)*SQRT(($T143*1000-coord!$B$2)^2+($U143*1000-coord!$C$2)^2+($V143*1000-coord!$D$2)^2))</f>
        <v>-0.26603427910971456</v>
      </c>
      <c r="H143">
        <f>(coord!$B$2*($U143*1000-coord!$C$2)-coord!$C$2*($T143*1000-coord!$B$2))/(SQRT(coord!$B$2^2+coord!$C$2^2+coord!$D$2^2)*SQRT(($T143*1000-coord!$B$2)^2+($U143*1000-coord!$C$2)^2+($V143*1000-coord!$D$2)^2))</f>
        <v>0.10381164074526972</v>
      </c>
      <c r="I143">
        <f t="shared" si="77"/>
        <v>0.14737385139404321</v>
      </c>
      <c r="J143">
        <f t="shared" si="78"/>
        <v>-0.24983702636701544</v>
      </c>
      <c r="K143">
        <f t="shared" si="79"/>
        <v>4.9589602795117871E-4</v>
      </c>
      <c r="L143">
        <f t="shared" si="80"/>
        <v>30.53550211156648</v>
      </c>
      <c r="M143" s="5">
        <f>'sv13'!$AA$3+'sv13'!$Z$3*($B143)+'sv13'!$Y$3*($B143)^2+'sv13'!$X$3*($B143)^3+'sv13'!$W$3*($B143)^4+'sv13'!$V$3*($B143)^5+'sv13'!$U$3*($B143)^6+'sv13'!$T$3*($B143)^7+'sv13'!$S$3*($B143)^8</f>
        <v>13635.036878811534</v>
      </c>
      <c r="N143" s="5">
        <f>'sv13'!$AA$4+'sv13'!$Z$4*($B143)+'sv13'!$Y$4*($B143)^2+'sv13'!$X$4*($B143)^3+'sv13'!$W$4*($B143)^4+'sv13'!$V$4*($B143)^5+'sv13'!$U$4*($B143)^6+'sv13'!$T$4*($B143)^7+'sv13'!$S$4*($B143)^8</f>
        <v>5928.3359295012669</v>
      </c>
      <c r="O143" s="5">
        <f>'sv13'!$AA$5+'sv13'!$Z$5*($B143)+'sv13'!$Y$5*($B143)^2+'sv13'!$X$5*($B143)^3+'sv13'!$W$5*($B143)^4+'sv13'!$V$5*($B143)^5+'sv13'!$U$5*($B143)^6+'sv13'!$T$5*($B143)^7+'sv13'!$S$5*($B143)^8</f>
        <v>21872.048461217688</v>
      </c>
      <c r="P143" s="5">
        <f>'sv13'!$AA$6+'sv13'!$Z$6*$B143+'sv13'!$Y$6*$B143^2+'sv13'!$X$6*$B143^3+'sv13'!$W$6*$B143^4+'sv13'!$V$6*$B143^5+'sv13'!$U$6*$B143^6+'sv13'!$T$6*$B143^7+'sv13'!$S$6*$B143^8</f>
        <v>304.21928976652845</v>
      </c>
      <c r="R143">
        <f>SQRT(($M143*1000-coord!$B$2)^2+($N143*1000-coord!$C$2)^2+($O143*1000-coord!$D$2)^2)/coord!$B$6</f>
        <v>6.7676282957324044E-2</v>
      </c>
      <c r="T143" s="5">
        <f>'sv13'!$AA$3+'sv13'!$Z$3*($B143-$R143/3600)+'sv13'!$Y$3*($B143-$R143/3600)^2+'sv13'!$X$3*($B143-$R143/3600)^3+'sv13'!$W$3*($B143-$R143/3600)^4+'sv13'!$V$3*($B143-$R143/3600)^5+'sv13'!$U$3*($B143-$R143/3600)^6+'sv13'!$T$3*($B143-$R143/3600)^7+'sv13'!$S$3*($B143-$R143/3600)^8+N143*coord!$B$7*R143</f>
        <v>13635.186051276305</v>
      </c>
      <c r="U143" s="5">
        <f>'sv13'!$AA$4+'sv13'!$Z$4*($B143-$R143/3600)+'sv13'!$Y$4*($B143-$R143/3600)^2+'sv13'!$X$4*($B143-$R143/3600)^3+'sv13'!$W$4*($B143-$R143/3600)^4+'sv13'!$V$4*($B143-$R143/3600)^5+'sv13'!$U$4*($B143-$R143/3600)^6+'sv13'!$T$4*($B143-$R143/3600)^7+'sv13'!$S$4*($B143-$R143/3600)^8-M143*coord!$B$7*R143</f>
        <v>5928.1217398029012</v>
      </c>
      <c r="V143" s="5">
        <f>'sv13'!$AA$5+'sv13'!$Z$5*($B143-$R143/3600)+'sv13'!$Y$5*($B143-$R143/3600)^2+'sv13'!$X$5*($B143-$R143/3600)^3+'sv13'!$W$5*($B143-$R143/3600)^4+'sv13'!$V$5*($B143-$R143/3600)^5+'sv13'!$U$5*($B143-$R143/3600)^6+'sv13'!$T$5*($B143-$R143/3600)^7+'sv13'!$S$5*($B143-$R143/3600)^8</f>
        <v>21872.013946466937</v>
      </c>
      <c r="W143">
        <f>coord!$B$6*P143/10^6</f>
        <v>91202.648650121817</v>
      </c>
      <c r="X143">
        <f>SQRT(($T143*1000+coord!$B$7*$R143*$U143*1000-coord!$B$2)^2+($U143*1000-coord!$B$7*$R143*$T143*1000-coord!$C$2)^2+($V143*1000-coord!$D$2)^2)</f>
        <v>20288821.593300886</v>
      </c>
      <c r="Y143" s="3">
        <f>$D143-(X143-$W143)-coord!$E$2</f>
        <v>0.46803709119558334</v>
      </c>
      <c r="Z143" s="3"/>
      <c r="AB143">
        <f>-(T143*1000-coord!$B$2)/$X143</f>
        <v>-0.45573410155715105</v>
      </c>
      <c r="AC143">
        <f>-(U143*1000-coord!$C$2)/$X143</f>
        <v>-0.24661617253586632</v>
      </c>
      <c r="AD143">
        <f>-(V143*1000-coord!$D$2)/$X143</f>
        <v>-0.85527025768201781</v>
      </c>
      <c r="AE143">
        <v>1</v>
      </c>
      <c r="BD143">
        <f>SQRT(($T143*1000+coord!$B$7*$R143*$U143*1000-coord!$B$2-BA$138)^2+($U143*1000-coord!$B$7*$R143*$T143*1000-coord!$C$2-BA$139)^2+($V143*1000-coord!$D$2-BA$140)^2)</f>
        <v>20288809.421948183</v>
      </c>
      <c r="BE143" s="3">
        <f t="shared" si="81"/>
        <v>2.135560360816342</v>
      </c>
      <c r="BG143" s="1"/>
      <c r="BH143" s="1"/>
      <c r="BI143" s="1"/>
      <c r="CG143" s="1"/>
      <c r="CH143" s="1"/>
      <c r="CI143" s="1"/>
    </row>
    <row r="144" spans="1:111">
      <c r="A144">
        <v>38</v>
      </c>
      <c r="B144">
        <f t="shared" si="41"/>
        <v>0.56666666666666665</v>
      </c>
      <c r="C144">
        <v>7</v>
      </c>
      <c r="D144">
        <f>tetto!D144*coord!$B$13-tetto!G144*coord!$B$14</f>
        <v>21607081.562248178</v>
      </c>
      <c r="E144" s="5">
        <f>90-DEGREES(ACOS((coord!$B$2*($T144*1000-coord!$B$2)+coord!$C$2*($U144*1000-coord!$C$2)+coord!$D$2*($V144*1000-coord!$D$2))/(SQRT(coord!$B$2^2+coord!$C$2^2+coord!$D$2^2)*SQRT(($T144*1000-coord!$B$2)^2+($U144*1000-coord!$C$2)^2+($V144*1000-coord!$D$2)^2))))</f>
        <v>47.450255216778096</v>
      </c>
      <c r="F144">
        <f>(coord!$C$2*($V144*1000-coord!$D$2)-coord!$D$2*($U144*1000-coord!$C$2))/(SQRT(coord!$B$2^2+coord!$C$2^2+coord!$D$2^2)*SQRT(($T144*1000-coord!$B$2)^2+($U144*1000-coord!$C$2)^2+($V144*1000-coord!$D$2)^2))</f>
        <v>-0.17590549487479273</v>
      </c>
      <c r="G144">
        <f>(-coord!$B$2*($V144*1000-coord!$D$2)+coord!$D$2*($T144*1000-coord!$B$2))/(SQRT(coord!$B$2^2+coord!$C$2^2+coord!$D$2^2)*SQRT(($T144*1000-coord!$B$2)^2+($U144*1000-coord!$C$2)^2+($V144*1000-coord!$D$2)^2))</f>
        <v>0.65187481505588618</v>
      </c>
      <c r="H144">
        <f>(coord!$B$2*($U144*1000-coord!$C$2)-coord!$C$2*($T144*1000-coord!$B$2))/(SQRT(coord!$B$2^2+coord!$C$2^2+coord!$D$2^2)*SQRT(($T144*1000-coord!$B$2)^2+($U144*1000-coord!$C$2)^2+($V144*1000-coord!$D$2)^2))</f>
        <v>3.7464419227444548E-2</v>
      </c>
      <c r="I144">
        <f t="shared" si="77"/>
        <v>5.3188312258949461E-2</v>
      </c>
      <c r="J144">
        <f t="shared" si="78"/>
        <v>0.67413505525920714</v>
      </c>
      <c r="K144">
        <f t="shared" si="79"/>
        <v>1.7620741051021724E-4</v>
      </c>
      <c r="L144">
        <f t="shared" si="80"/>
        <v>175.48878845378107</v>
      </c>
      <c r="M144" s="5">
        <f>'sv07'!$AA$3+'sv07'!$Z$3*($B144)+'sv07'!$Y$3*($B144)^2+'sv07'!$X$3*($B144)^3+'sv07'!$W$3*($B144)^4+'sv07'!$V$3*($B144)^5+'sv07'!$U$3*($B144)^6+'sv07'!$T$3*($B144)^7+'sv07'!$S$3*($B144)^8</f>
        <v>25240.332496617557</v>
      </c>
      <c r="N144" s="5">
        <f>'sv07'!$AA$4+'sv07'!$Z$4*($B144)+'sv07'!$Y$4*($B144)^2+'sv07'!$X$4*($B144)^3+'sv07'!$W$4*($B144)^4+'sv07'!$V$4*($B144)^5+'sv07'!$U$4*($B144)^6+'sv07'!$T$4*($B144)^7+'sv07'!$S$4*($B144)^8</f>
        <v>6491.7507458850814</v>
      </c>
      <c r="O144" s="5">
        <f>'sv07'!$AA$5+'sv07'!$Z$5*($B144)+'sv07'!$Y$5*($B144)^2+'sv07'!$X$5*($B144)^3+'sv07'!$W$5*($B144)^4+'sv07'!$V$5*($B144)^5+'sv07'!$U$5*($B144)^6+'sv07'!$T$5*($B144)^7+'sv07'!$S$5*($B144)^8</f>
        <v>5557.8440186049984</v>
      </c>
      <c r="P144" s="5">
        <f>'sv07'!$AA$6+'sv07'!$Z$6*$B144+'sv07'!$Y$6*$B144^2+'sv07'!$X$6*$B144^3+'sv07'!$W$6*$B144^4+'sv07'!$V$6*$B144^5+'sv07'!$U$6*$B144^6+'sv07'!$T$6*$B144^7+'sv07'!$S$6*$B144^8</f>
        <v>-0.6379827237082597</v>
      </c>
      <c r="R144">
        <f>SQRT(($M144*1000-coord!$B$2)^2+($N144*1000-coord!$C$2)^2+($O144*1000-coord!$D$2)^2)/coord!$B$6</f>
        <v>7.2072589856695471E-2</v>
      </c>
      <c r="T144" s="5">
        <f>'sv07'!$AA$3+'sv07'!$Z$3*($B144-$R144/3600)+'sv07'!$Y$3*($B144-$R144/3600)^2+'sv07'!$X$3*($B144-$R144/3600)^3+'sv07'!$W$3*($B144-$R144/3600)^4+'sv07'!$V$3*($B144-$R144/3600)^5+'sv07'!$U$3*($B144-$R144/3600)^6+'sv07'!$T$3*($B144-$R144/3600)^7+'sv07'!$S$3*($B144-$R144/3600)^8+N144*coord!$B$7*R144</f>
        <v>25240.418720523427</v>
      </c>
      <c r="U144" s="5">
        <f>'sv07'!$AA$4+'sv07'!$Z$4*($B144-$R144/3600)+'sv07'!$Y$4*($B144-$R144/3600)^2+'sv07'!$X$4*($B144-$R144/3600)^3+'sv07'!$W$4*($B144-$R144/3600)^4+'sv07'!$V$4*($B144-$R144/3600)^5+'sv07'!$U$4*($B144-$R144/3600)^6+'sv07'!$T$4*($B144-$R144/3600)^7+'sv07'!$S$4*($B144-$R144/3600)^8-M144*coord!$B$7*R144</f>
        <v>6491.6072513770387</v>
      </c>
      <c r="V144" s="5">
        <f>'sv07'!$AA$5+'sv07'!$Z$5*($B144-$R144/3600)+'sv07'!$Y$5*($B144-$R144/3600)^2+'sv07'!$X$5*($B144-$R144/3600)^3+'sv07'!$W$5*($B144-$R144/3600)^4+'sv07'!$V$5*($B144-$R144/3600)^5+'sv07'!$U$5*($B144-$R144/3600)^6+'sv07'!$T$5*($B144-$R144/3600)^7+'sv07'!$S$5*($B144-$R144/3600)^8</f>
        <v>5557.6217052704997</v>
      </c>
      <c r="W144">
        <f>coord!$B$6*P144/10^6</f>
        <v>-191.26240890203405</v>
      </c>
      <c r="X144">
        <f>SQRT(($T144*1000+coord!$B$7*$R144*$U144*1000-coord!$B$2)^2+($U144*1000-coord!$B$7*$R144*$T144*1000-coord!$C$2)^2+($V144*1000-coord!$D$2)^2)</f>
        <v>21606853.170356978</v>
      </c>
      <c r="Y144" s="3">
        <f>$D144-(X144-$W144)-coord!$E$2</f>
        <v>37.129482299089432</v>
      </c>
      <c r="Z144" s="3" t="s">
        <v>127</v>
      </c>
      <c r="AA144" s="1" t="s">
        <v>128</v>
      </c>
      <c r="AB144">
        <f>-(T144*1000-coord!$B$2)/$X144</f>
        <v>-0.96504291417735077</v>
      </c>
      <c r="AC144">
        <f>-(U144*1000-coord!$C$2)/$X144</f>
        <v>-0.25765144948615681</v>
      </c>
      <c r="AD144">
        <f>-(V144*1000-coord!$D$2)/$X144</f>
        <v>-4.8041860736787262E-2</v>
      </c>
      <c r="AE144">
        <v>1</v>
      </c>
      <c r="BD144">
        <f>SQRT(($T144*1000+coord!$B$7*$R144*$U144*1000-coord!$B$2-BA$138)^2+($U144*1000-coord!$B$7*$R144*$T144*1000-coord!$C$2-BA$139)^2+($V144*1000-coord!$D$2-BA$140)^2)</f>
        <v>21606884.161070235</v>
      </c>
      <c r="BE144" s="3">
        <f t="shared" si="81"/>
        <v>-4.3650603917566713</v>
      </c>
      <c r="BF144" s="3" t="s">
        <v>127</v>
      </c>
      <c r="BG144" s="1" t="s">
        <v>128</v>
      </c>
      <c r="BH144" s="1"/>
      <c r="BI144" s="1"/>
      <c r="CG144" s="1"/>
      <c r="CH144" s="1"/>
      <c r="CI144" s="1"/>
    </row>
    <row r="145" spans="1:111">
      <c r="Y145" s="3"/>
      <c r="Z145" s="3">
        <f>AVERAGE($Y138:$Y144)</f>
        <v>-8.4211434546325883</v>
      </c>
      <c r="AA145" s="1">
        <f>SQRT(DEVSQ($Y138:$Y144)/6)</f>
        <v>84.761671295861078</v>
      </c>
      <c r="BE145" s="3"/>
      <c r="BF145" s="3">
        <f>AVERAGE($BE138:$BE144)</f>
        <v>1.7573146884737007E-4</v>
      </c>
      <c r="BG145" s="1">
        <f>SQRT(DEVSQ($BE138:$BE144)/6)</f>
        <v>3.7499218012556614</v>
      </c>
      <c r="BH145" s="1"/>
      <c r="BI145" s="1"/>
      <c r="CG145" s="1"/>
      <c r="CH145" s="1"/>
      <c r="CI145" s="1"/>
    </row>
    <row r="146" spans="1:111">
      <c r="A146">
        <v>40</v>
      </c>
      <c r="B146">
        <f t="shared" ref="B146:B152" si="82">(60-45)/60+30*A146/3600</f>
        <v>0.58333333333333326</v>
      </c>
      <c r="C146">
        <v>2</v>
      </c>
      <c r="D146">
        <f>tetto!D146*coord!$B$13-tetto!G146*coord!$B$14</f>
        <v>22405376.943727352</v>
      </c>
      <c r="E146" s="5">
        <f>90-DEGREES(ACOS((coord!$B$2*($T146*1000-coord!$B$2)+coord!$C$2*($U146*1000-coord!$C$2)+coord!$D$2*($V146*1000-coord!$D$2))/(SQRT(coord!$B$2^2+coord!$C$2^2+coord!$D$2^2)*SQRT(($T146*1000-coord!$B$2)^2+($U146*1000-coord!$C$2)^2+($V146*1000-coord!$D$2)^2))))</f>
        <v>32.651583267406714</v>
      </c>
      <c r="F146">
        <f>(coord!$C$2*($V146*1000-coord!$D$2)-coord!$D$2*($U146*1000-coord!$C$2))/(SQRT(coord!$B$2^2+coord!$C$2^2+coord!$D$2^2)*SQRT(($T146*1000-coord!$B$2)^2+($U146*1000-coord!$C$2)^2+($V146*1000-coord!$D$2)^2))</f>
        <v>0.58349284370207011</v>
      </c>
      <c r="G146">
        <f>(-coord!$B$2*($V146*1000-coord!$D$2)+coord!$D$2*($T146*1000-coord!$B$2))/(SQRT(coord!$B$2^2+coord!$C$2^2+coord!$D$2^2)*SQRT(($T146*1000-coord!$B$2)^2+($U146*1000-coord!$C$2)^2+($V146*1000-coord!$D$2)^2))</f>
        <v>-0.35180495061327172</v>
      </c>
      <c r="H146">
        <f>(coord!$B$2*($U146*1000-coord!$C$2)-coord!$C$2*($T146*1000-coord!$B$2))/(SQRT(coord!$B$2^2+coord!$C$2^2+coord!$D$2^2)*SQRT(($T146*1000-coord!$B$2)^2+($U146*1000-coord!$C$2)^2+($V146*1000-coord!$D$2)^2))</f>
        <v>-0.49464917834688354</v>
      </c>
      <c r="I146">
        <f t="shared" ref="I146:I152" si="83">$F146*$CA$2+$G146*$CB$2+$H146*$CC$2</f>
        <v>-0.70222358868079304</v>
      </c>
      <c r="J146">
        <f t="shared" ref="J146:J152" si="84">$F146*$CA$3+$G146*$CB$3+$H146*$CC$3</f>
        <v>-0.46452654178576647</v>
      </c>
      <c r="K146">
        <f t="shared" ref="K146:K152" si="85">$F146*$CA$4+$G146*$CB$4+$H146*$CC$4</f>
        <v>-2.356914000770538E-3</v>
      </c>
      <c r="L146">
        <f t="shared" ref="L146:L152" si="86">90+DEGREES(ATAN2(I146,J146))</f>
        <v>-56.515044083115697</v>
      </c>
      <c r="M146" s="5">
        <f>'sv02'!$AA$3+'sv02'!$Z$3*($B146)+'sv02'!$Y$3*($B146)^2+'sv02'!$X$3*($B146)^3+'sv02'!$W$3*($B146)^4+'sv02'!$V$3*($B146)^5+'sv02'!$U$3*($B146)^6+'sv02'!$T$3*($B146)^7+'sv02'!$S$3*($B146)^8</f>
        <v>8750.7085622063751</v>
      </c>
      <c r="N146" s="5">
        <f>'sv02'!$AA$4+'sv02'!$Z$4*($B146)+'sv02'!$Y$4*($B146)^2+'sv02'!$X$4*($B146)^3+'sv02'!$W$4*($B146)^4+'sv02'!$V$4*($B146)^5+'sv02'!$U$4*($B146)^6+'sv02'!$T$4*($B146)^7+'sv02'!$S$4*($B146)^8</f>
        <v>-14290.98284633715</v>
      </c>
      <c r="O146" s="5">
        <f>'sv02'!$AA$5+'sv02'!$Z$5*($B146)+'sv02'!$Y$5*($B146)^2+'sv02'!$X$5*($B146)^3+'sv02'!$W$5*($B146)^4+'sv02'!$V$5*($B146)^5+'sv02'!$U$5*($B146)^6+'sv02'!$T$5*($B146)^7+'sv02'!$S$5*($B146)^8</f>
        <v>20486.127745928308</v>
      </c>
      <c r="P146" s="5">
        <f>'sv02'!$AA$6+'sv02'!$Z$6*$B146+'sv02'!$Y$6*$B146^2+'sv02'!$X$6*$B146^3+'sv02'!$W$6*$B146^4+'sv02'!$V$6*$B146^5+'sv02'!$U$6*$B146^6+'sv02'!$T$6*$B146^7+'sv02'!$S$6*$B146^8</f>
        <v>257.59365214337834</v>
      </c>
      <c r="R146">
        <f>SQRT(($M146*1000-coord!$B$2)^2+($N146*1000-coord!$C$2)^2+($O146*1000-coord!$D$2)^2)/coord!$B$6</f>
        <v>7.4994007318941444E-2</v>
      </c>
      <c r="T146" s="5">
        <f>'sv02'!$AA$3+'sv02'!$Z$3*($B146-$R146/3600)+'sv02'!$Y$3*($B146-$R146/3600)^2+'sv02'!$X$3*($B146-$R146/3600)^3+'sv02'!$W$3*($B146-$R146/3600)^4+'sv02'!$V$3*($B146-$R146/3600)^5+'sv02'!$U$3*($B146-$R146/3600)^6+'sv02'!$T$3*($B146-$R146/3600)^7+'sv02'!$S$3*($B146-$R146/3600)^8+N146*coord!$B$7*R146</f>
        <v>8750.4349700919065</v>
      </c>
      <c r="U146" s="5">
        <f>'sv02'!$AA$4+'sv02'!$Z$4*($B146-$R146/3600)+'sv02'!$Y$4*($B146-$R146/3600)^2+'sv02'!$X$4*($B146-$R146/3600)^3+'sv02'!$W$4*($B146-$R146/3600)^4+'sv02'!$V$4*($B146-$R146/3600)^5+'sv02'!$U$4*($B146-$R146/3600)^6+'sv02'!$T$4*($B146-$R146/3600)^7+'sv02'!$S$4*($B146-$R146/3600)^8-M146*coord!$B$7*R146</f>
        <v>-14291.056059987577</v>
      </c>
      <c r="V146" s="5">
        <f>'sv02'!$AA$5+'sv02'!$Z$5*($B146-$R146/3600)+'sv02'!$Y$5*($B146-$R146/3600)^2+'sv02'!$X$5*($B146-$R146/3600)^3+'sv02'!$W$5*($B146-$R146/3600)^4+'sv02'!$V$5*($B146-$R146/3600)^5+'sv02'!$U$5*($B146-$R146/3600)^6+'sv02'!$T$5*($B146-$R146/3600)^7+'sv02'!$S$5*($B146-$R146/3600)^8</f>
        <v>20486.196883193988</v>
      </c>
      <c r="W146">
        <f>coord!$B$6*P146/10^6</f>
        <v>77224.634141260365</v>
      </c>
      <c r="X146">
        <f>SQRT(($T146*1000+coord!$B$7*$R146*$U146*1000-coord!$B$2)^2+($U146*1000-coord!$B$7*$R146*$T146*1000-coord!$C$2)^2+($V146*1000-coord!$D$2)^2)</f>
        <v>22482700.584445219</v>
      </c>
      <c r="Y146" s="3">
        <f>$D146-(X146-$W146)-coord!$E$2</f>
        <v>-99.006576608866453</v>
      </c>
      <c r="Z146" s="3"/>
      <c r="AB146">
        <f>-(T146*1000-coord!$B$2)/$X146</f>
        <v>-0.19399612528352017</v>
      </c>
      <c r="AC146">
        <f>-(U146*1000-coord!$C$2)/$X146</f>
        <v>0.67677040024785062</v>
      </c>
      <c r="AD146">
        <f>-(V146*1000-coord!$D$2)/$X146</f>
        <v>-0.71017307502376181</v>
      </c>
      <c r="AE146">
        <v>1</v>
      </c>
      <c r="AG146">
        <f t="array" ref="AG146:AM149">TRANSPOSE(AB146:AE152)</f>
        <v>-0.19399612528352017</v>
      </c>
      <c r="AH146">
        <v>-0.15640145708486602</v>
      </c>
      <c r="AI146">
        <v>-0.17878276917316932</v>
      </c>
      <c r="AJ146">
        <v>-0.85493659520604559</v>
      </c>
      <c r="AK146">
        <v>-0.41854446485903118</v>
      </c>
      <c r="AL146">
        <v>-0.45028111154278205</v>
      </c>
      <c r="AM146">
        <v>-0.96436484267456124</v>
      </c>
      <c r="AO146">
        <f t="array" ref="AO146:AR149">MMULT(AG146:AM149,AB146:AE152)</f>
        <v>2.1329078710420886</v>
      </c>
      <c r="AP146">
        <v>0.26615993432059926</v>
      </c>
      <c r="AQ146">
        <v>1.1239725949681254</v>
      </c>
      <c r="AR146">
        <v>-3.2173073658239755</v>
      </c>
      <c r="AT146">
        <f t="array" ref="AT146:AW149">MINVERSE(AO146:AR149)</f>
        <v>2.6165631842912664</v>
      </c>
      <c r="AU146">
        <v>0.21654152021299761</v>
      </c>
      <c r="AV146">
        <v>1.6803988634297546</v>
      </c>
      <c r="AW146">
        <v>2.0287912892930335</v>
      </c>
      <c r="AY146">
        <f t="array" ref="AY146:AY149">MMULT(AG146:AM149,Y146:Y152)</f>
        <v>-9.4971143663933475</v>
      </c>
      <c r="BA146">
        <f t="array" ref="BA146:BA149">MMULT(AT146:AW149,AY146:AY149)</f>
        <v>2.3596436709885751</v>
      </c>
      <c r="BD146">
        <f>SQRT(($T146*1000+coord!$B$7*$R146*$U146*1000-coord!$B$2-BA$146)^2+($U146*1000-coord!$B$7*$R146*$T146*1000-coord!$C$2-BA$147)^2+($V146*1000-coord!$D$2-BA$148)^2)</f>
        <v>22482596.059667654</v>
      </c>
      <c r="BE146" s="3">
        <f>$D146-(BD146-$W146)-BA$149</f>
        <v>-4.9595893934468762</v>
      </c>
      <c r="BG146" s="1">
        <f>coord!$B$2+$BA146</f>
        <v>4388880.5304436712</v>
      </c>
      <c r="BH146" s="1">
        <f>coord!$C$2+$BA147</f>
        <v>924461.39149836218</v>
      </c>
      <c r="BI146" s="1">
        <f>coord!$D$2+$BA148</f>
        <v>4519631.1082910784</v>
      </c>
      <c r="BJ146" s="1">
        <f>coord!$E$2+$BA149</f>
        <v>10.477790349731876</v>
      </c>
      <c r="BK146" s="8">
        <f>lat($BG146,$BH146,$BI146)</f>
        <v>45.41157076923831</v>
      </c>
      <c r="BL146" s="8">
        <f>lon($BG146,$BH146,$BI146)</f>
        <v>11.894740037055049</v>
      </c>
      <c r="BM146" s="6">
        <f>h($BG146,$BH146,$BI146)</f>
        <v>78.500178785063326</v>
      </c>
      <c r="BO146">
        <f>grado($BK146)</f>
        <v>45</v>
      </c>
      <c r="BP146">
        <f>MINUTOprimo($BK146)</f>
        <v>24</v>
      </c>
      <c r="BQ146">
        <f>MINUTOsecondo($BK146)</f>
        <v>41.65476925791495</v>
      </c>
      <c r="BR146">
        <f>grado($BL146)</f>
        <v>11</v>
      </c>
      <c r="BS146">
        <f>MINUTOprimo($BL146)</f>
        <v>53</v>
      </c>
      <c r="BT146">
        <f>MINUTOsecondo($BL146)</f>
        <v>41.064133398177631</v>
      </c>
      <c r="BV146">
        <f>-SIN(RADIANS(BK146))*COS(RADIANS(BL146))</f>
        <v>-0.69687609906257553</v>
      </c>
      <c r="BW146">
        <f>-SIN(RADIANS(BL146))</f>
        <v>-0.20611435380997895</v>
      </c>
      <c r="BX146">
        <f>COS(RADIANS(BK146))*COS(RADIANS(BL146))</f>
        <v>0.68693564160612774</v>
      </c>
      <c r="BZ146" t="s">
        <v>93</v>
      </c>
      <c r="CA146">
        <f t="array" ref="CA146:CC148">MINVERSE(BV146:BX148)</f>
        <v>-0.69687609906257542</v>
      </c>
      <c r="CB146">
        <v>-0.14678801206196643</v>
      </c>
      <c r="CC146">
        <v>0.70200924642786822</v>
      </c>
      <c r="CD146">
        <v>0</v>
      </c>
      <c r="CE146" s="1">
        <f t="array" ref="CE146:CE148">MMULT(CA146:CC148,BA146:BA148)</f>
        <v>44.399199774450089</v>
      </c>
      <c r="CG146" s="1">
        <f t="array" ref="CG146:CI146">TRANSPOSE(CE146:CE148)</f>
        <v>44.399199774450089</v>
      </c>
      <c r="CH146" s="1">
        <v>-106.97142883604651</v>
      </c>
      <c r="CI146" s="1">
        <v>16.380046687236987</v>
      </c>
      <c r="CK146">
        <f t="array" ref="CK146:CN149">MMULT(CA146:CD149,AT146:AW149)</f>
        <v>-0.67555050428602237</v>
      </c>
      <c r="CL146">
        <v>0.11586070328579878</v>
      </c>
      <c r="CM146">
        <v>0.61446842070771179</v>
      </c>
      <c r="CN146">
        <v>-7.0020497665648218E-3</v>
      </c>
      <c r="CP146">
        <f t="array" ref="CP146:CS149">TRANSPOSE(CA146:CD149)</f>
        <v>-0.69687609906257542</v>
      </c>
      <c r="CQ146">
        <v>-0.20611435380997892</v>
      </c>
      <c r="CR146">
        <v>0.68693564160612774</v>
      </c>
      <c r="CS146">
        <v>0</v>
      </c>
      <c r="CU146" s="5">
        <f t="array" ref="CU146:CX149">MMULT(CK146:CN149,CP146:CS149)</f>
        <v>0.8851305508099182</v>
      </c>
      <c r="CV146" s="5">
        <v>0.25261358764257352</v>
      </c>
      <c r="CW146" s="5">
        <v>-9.6907076773068979E-3</v>
      </c>
      <c r="CX146" s="5">
        <v>-7.0020497665648218E-3</v>
      </c>
      <c r="CZ146" s="3">
        <f>SQRT(CU146+CV147)</f>
        <v>1.1797734684397816</v>
      </c>
      <c r="DA146" s="3">
        <f>CW148</f>
        <v>4.3739661105107386</v>
      </c>
      <c r="DB146" s="3">
        <f>CX149</f>
        <v>2.1003594879461605</v>
      </c>
      <c r="DC146" s="3">
        <f>BG153</f>
        <v>3.6884188208312443</v>
      </c>
      <c r="DD146">
        <v>6</v>
      </c>
      <c r="DE146" s="6">
        <f>DB146*DD146*DC146</f>
        <v>46.482032795112559</v>
      </c>
      <c r="DF146">
        <v>5.33</v>
      </c>
      <c r="DG146" s="6">
        <f>DC146*DF146*SQRT(0.5*(CU146+CV147)+SQRT((0.5*(CU146-CV147))^2+CV146^2))</f>
        <v>19.772403977252651</v>
      </c>
    </row>
    <row r="147" spans="1:111">
      <c r="A147">
        <v>40</v>
      </c>
      <c r="B147">
        <f t="shared" si="82"/>
        <v>0.58333333333333326</v>
      </c>
      <c r="C147">
        <v>23</v>
      </c>
      <c r="D147">
        <f>tetto!D147*coord!$B$13-tetto!G147*coord!$B$14</f>
        <v>21287093.695766848</v>
      </c>
      <c r="E147" s="5">
        <f>90-DEGREES(ACOS((coord!$B$2*($T147*1000-coord!$B$2)+coord!$C$2*($U147*1000-coord!$C$2)+coord!$D$2*($V147*1000-coord!$D$2))/(SQRT(coord!$B$2^2+coord!$C$2^2+coord!$D$2^2)*SQRT(($T147*1000-coord!$B$2)^2+($U147*1000-coord!$C$2)^2+($V147*1000-coord!$D$2)^2))))</f>
        <v>48.288474129771423</v>
      </c>
      <c r="F147">
        <f>(coord!$C$2*($V147*1000-coord!$D$2)-coord!$D$2*($U147*1000-coord!$C$2))/(SQRT(coord!$B$2^2+coord!$C$2^2+coord!$D$2^2)*SQRT(($T147*1000-coord!$B$2)^2+($U147*1000-coord!$C$2)^2+($V147*1000-coord!$D$2)^2))</f>
        <v>-0.32268145553851901</v>
      </c>
      <c r="G147">
        <f>(-coord!$B$2*($V147*1000-coord!$D$2)+coord!$D$2*($T147*1000-coord!$B$2))/(SQRT(coord!$B$2^2+coord!$C$2^2+coord!$D$2^2)*SQRT(($T147*1000-coord!$B$2)^2+($U147*1000-coord!$C$2)^2+($V147*1000-coord!$D$2)^2))</f>
        <v>-0.4227752899816492</v>
      </c>
      <c r="H147">
        <f>(coord!$B$2*($U147*1000-coord!$C$2)-coord!$C$2*($T147*1000-coord!$B$2))/(SQRT(coord!$B$2^2+coord!$C$2^2+coord!$D$2^2)*SQRT(($T147*1000-coord!$B$2)^2+($U147*1000-coord!$C$2)^2+($V147*1000-coord!$D$2)^2))</f>
        <v>0.3998362077813134</v>
      </c>
      <c r="I147">
        <f t="shared" si="83"/>
        <v>0.56762069260348347</v>
      </c>
      <c r="J147">
        <f t="shared" si="84"/>
        <v>-0.34718060203230849</v>
      </c>
      <c r="K147">
        <f t="shared" si="85"/>
        <v>1.9077529431067441E-3</v>
      </c>
      <c r="L147">
        <f t="shared" si="86"/>
        <v>58.548296741801252</v>
      </c>
      <c r="M147" s="5">
        <f>'sv23'!$AA$3+'sv23'!$Z$3*($B147)+'sv23'!$Y$3*($B147)^2+'sv23'!$X$3*($B147)^3+'sv23'!$W$3*($B147)^4+'sv23'!$V$3*($B147)^5+'sv23'!$U$3*($B147)^6+'sv23'!$T$3*($B147)^7+'sv23'!$S$3*($B147)^8</f>
        <v>7735.3644164895059</v>
      </c>
      <c r="N147" s="5">
        <f>'sv23'!$AA$4+'sv23'!$Z$4*($B147)+'sv23'!$Y$4*($B147)^2+'sv23'!$X$4*($B147)^3+'sv23'!$W$4*($B147)^4+'sv23'!$V$4*($B147)^5+'sv23'!$U$4*($B147)^6+'sv23'!$T$4*($B147)^7+'sv23'!$S$4*($B147)^8</f>
        <v>14042.4124299139</v>
      </c>
      <c r="O147" s="5">
        <f>'sv23'!$AA$5+'sv23'!$Z$5*($B147)+'sv23'!$Y$5*($B147)^2+'sv23'!$X$5*($B147)^3+'sv23'!$W$5*($B147)^4+'sv23'!$V$5*($B147)^5+'sv23'!$U$5*($B147)^6+'sv23'!$T$5*($B147)^7+'sv23'!$S$5*($B147)^8</f>
        <v>21090.6365583804</v>
      </c>
      <c r="P147" s="5">
        <f>'sv23'!$AA$6+'sv23'!$Z$6*$B147+'sv23'!$Y$6*$B147^2+'sv23'!$X$6*$B147^3+'sv23'!$W$6*$B147^4+'sv23'!$V$6*$B147^5+'sv23'!$U$6*$B147^6+'sv23'!$T$6*$B147^7+'sv23'!$S$6*$B147^8</f>
        <v>370.05593566329264</v>
      </c>
      <c r="R147">
        <f>SQRT(($M147*1000-coord!$B$2)^2+($N147*1000-coord!$C$2)^2+($O147*1000-coord!$D$2)^2)/coord!$B$6</f>
        <v>7.1376200340623225E-2</v>
      </c>
      <c r="T147" s="5">
        <f>'sv23'!$AA$3+'sv23'!$Z$3*($B147-$R147/3600)+'sv23'!$Y$3*($B147-$R147/3600)^2+'sv23'!$X$3*($B147-$R147/3600)^3+'sv23'!$W$3*($B147-$R147/3600)^4+'sv23'!$V$3*($B147-$R147/3600)^5+'sv23'!$U$3*($B147-$R147/3600)^6+'sv23'!$T$3*($B147-$R147/3600)^7+'sv23'!$S$3*($B147-$R147/3600)^8+N147*coord!$B$7*R147</f>
        <v>7735.5552810762301</v>
      </c>
      <c r="U147" s="5">
        <f>'sv23'!$AA$4+'sv23'!$Z$4*($B147-$R147/3600)+'sv23'!$Y$4*($B147-$R147/3600)^2+'sv23'!$X$4*($B147-$R147/3600)^3+'sv23'!$W$4*($B147-$R147/3600)^4+'sv23'!$V$4*($B147-$R147/3600)^5+'sv23'!$U$4*($B147-$R147/3600)^6+'sv23'!$T$4*($B147-$R147/3600)^7+'sv23'!$S$4*($B147-$R147/3600)^8-M147*coord!$B$7*R147</f>
        <v>14042.220527127936</v>
      </c>
      <c r="V147" s="5">
        <f>'sv23'!$AA$5+'sv23'!$Z$5*($B147-$R147/3600)+'sv23'!$Y$5*($B147-$R147/3600)^2+'sv23'!$X$5*($B147-$R147/3600)^3+'sv23'!$W$5*($B147-$R147/3600)^4+'sv23'!$V$5*($B147-$R147/3600)^5+'sv23'!$U$5*($B147-$R147/3600)^6+'sv23'!$T$5*($B147-$R147/3600)^7+'sv23'!$S$5*($B147-$R147/3600)^8</f>
        <v>21090.696462015741</v>
      </c>
      <c r="W147">
        <f>coord!$B$6*P147/10^6</f>
        <v>110939.97854998836</v>
      </c>
      <c r="X147">
        <f>SQRT(($T147*1000+coord!$B$7*$R147*$U147*1000-coord!$B$2)^2+($U147*1000-coord!$B$7*$R147*$T147*1000-coord!$C$2)^2+($V147*1000-coord!$D$2)^2)</f>
        <v>21397991.889936596</v>
      </c>
      <c r="Y147" s="3">
        <f>$D147-(X147-$W147)-coord!$E$2</f>
        <v>41.784380238503218</v>
      </c>
      <c r="Z147" s="3"/>
      <c r="AB147">
        <f>-(T147*1000-coord!$B$2)/$X147</f>
        <v>-0.15640145708486602</v>
      </c>
      <c r="AC147">
        <f>-(U147*1000-coord!$C$2)/$X147</f>
        <v>-0.61303183875385636</v>
      </c>
      <c r="AD147">
        <f>-(V147*1000-coord!$D$2)/$X147</f>
        <v>-0.77442351941020582</v>
      </c>
      <c r="AE147">
        <v>1</v>
      </c>
      <c r="AG147">
        <v>0.67677040024785062</v>
      </c>
      <c r="AH147">
        <v>-0.61303183875385636</v>
      </c>
      <c r="AI147">
        <v>0.7269561257080307</v>
      </c>
      <c r="AJ147">
        <v>0.36444933119129275</v>
      </c>
      <c r="AK147">
        <v>-0.90792671028854055</v>
      </c>
      <c r="AL147">
        <v>-0.25292524920456416</v>
      </c>
      <c r="AM147">
        <v>-0.25843417754718651</v>
      </c>
      <c r="AO147">
        <v>0.26615993432059926</v>
      </c>
      <c r="AP147">
        <v>2.4502050507528339</v>
      </c>
      <c r="AQ147">
        <v>-0.41127508319262113</v>
      </c>
      <c r="AR147">
        <v>-0.26414211864697351</v>
      </c>
      <c r="AT147">
        <v>0.21654152021299755</v>
      </c>
      <c r="AU147">
        <v>0.50434937164131355</v>
      </c>
      <c r="AV147">
        <v>0.48545764398255636</v>
      </c>
      <c r="AW147">
        <v>0.35487495179441364</v>
      </c>
      <c r="AY147">
        <v>-286.39161936601249</v>
      </c>
      <c r="BA147">
        <v>-108.82170163783593</v>
      </c>
      <c r="BD147">
        <f>SQRT(($T147*1000+coord!$B$7*$R147*$U147*1000-coord!$B$2-BA$146)^2+($U147*1000-coord!$B$7*$R147*$T147*1000-coord!$C$2-BA$147)^2+($V147*1000-coord!$D$2-BA$148)^2)</f>
        <v>21398025.060483802</v>
      </c>
      <c r="BE147" s="3">
        <f t="shared" ref="BE147:BE152" si="87">$D147-(BD147-$W147)-BA$149</f>
        <v>-1.8639573171834485</v>
      </c>
      <c r="BG147" s="1"/>
      <c r="BH147" s="1"/>
      <c r="BI147" s="1"/>
      <c r="BV147">
        <f>-SIN(RADIANS(BK146))*SIN(RADIANS(BL146))</f>
        <v>-0.14678801206196646</v>
      </c>
      <c r="BW147">
        <f>COS(RADIANS(BL146))</f>
        <v>0.97852791127974215</v>
      </c>
      <c r="BX147">
        <f>COS(RADIANS(BK146))*SIN(RADIANS(BL146))</f>
        <v>0.14469418219611035</v>
      </c>
      <c r="BZ147" t="s">
        <v>94</v>
      </c>
      <c r="CA147">
        <v>-0.20611435380997892</v>
      </c>
      <c r="CB147">
        <v>0.97852791127974215</v>
      </c>
      <c r="CC147">
        <v>2.8364623324162018E-17</v>
      </c>
      <c r="CD147">
        <v>0</v>
      </c>
      <c r="CE147" s="1">
        <v>-106.97142883604651</v>
      </c>
      <c r="CG147" s="1"/>
      <c r="CH147" s="1"/>
      <c r="CI147" s="1"/>
      <c r="CK147">
        <v>-0.32741930845381056</v>
      </c>
      <c r="CL147">
        <v>0.44888762167569252</v>
      </c>
      <c r="CM147">
        <v>0.12867952850218875</v>
      </c>
      <c r="CN147">
        <v>-7.0907960263060787E-2</v>
      </c>
      <c r="CP147">
        <v>-0.14678801206196643</v>
      </c>
      <c r="CQ147">
        <v>0.97852791127974215</v>
      </c>
      <c r="CR147">
        <v>0.14469418219611033</v>
      </c>
      <c r="CS147">
        <v>0</v>
      </c>
      <c r="CU147" s="5">
        <v>0.25261358764257358</v>
      </c>
      <c r="CV147" s="5">
        <v>0.50673488602451389</v>
      </c>
      <c r="CW147" s="5">
        <v>-6.8323144846000688E-2</v>
      </c>
      <c r="CX147" s="5">
        <v>-7.0907960263060787E-2</v>
      </c>
    </row>
    <row r="148" spans="1:111">
      <c r="A148">
        <v>40</v>
      </c>
      <c r="B148">
        <f t="shared" si="82"/>
        <v>0.58333333333333326</v>
      </c>
      <c r="C148">
        <v>10</v>
      </c>
      <c r="D148">
        <f>tetto!D148*coord!$B$13-tetto!G148*coord!$B$14</f>
        <v>22652470.093812793</v>
      </c>
      <c r="E148" s="5">
        <f>90-DEGREES(ACOS((coord!$B$2*($T148*1000-coord!$B$2)+coord!$C$2*($U148*1000-coord!$C$2)+coord!$D$2*($V148*1000-coord!$D$2))/(SQRT(coord!$B$2^2+coord!$C$2^2+coord!$D$2^2)*SQRT(($T148*1000-coord!$B$2)^2+($U148*1000-coord!$C$2)^2+($V148*1000-coord!$D$2)^2))))</f>
        <v>29.227110799029354</v>
      </c>
      <c r="F148">
        <f>(coord!$C$2*($V148*1000-coord!$D$2)-coord!$D$2*($U148*1000-coord!$C$2))/(SQRT(coord!$B$2^2+coord!$C$2^2+coord!$D$2^2)*SQRT(($T148*1000-coord!$B$2)^2+($U148*1000-coord!$C$2)^2+($V148*1000-coord!$D$2)^2))</f>
        <v>0.61226518369636085</v>
      </c>
      <c r="G148">
        <f>(-coord!$B$2*($V148*1000-coord!$D$2)+coord!$D$2*($T148*1000-coord!$B$2))/(SQRT(coord!$B$2^2+coord!$C$2^2+coord!$D$2^2)*SQRT(($T148*1000-coord!$B$2)^2+($U148*1000-coord!$C$2)^2+($V148*1000-coord!$D$2)^2))</f>
        <v>-0.3300887242743627</v>
      </c>
      <c r="H148">
        <f>(coord!$B$2*($U148*1000-coord!$C$2)-coord!$C$2*($T148*1000-coord!$B$2))/(SQRT(coord!$B$2^2+coord!$C$2^2+coord!$D$2^2)*SQRT(($T148*1000-coord!$B$2)^2+($U148*1000-coord!$C$2)^2+($V148*1000-coord!$D$2)^2))</f>
        <v>-0.52703187828707021</v>
      </c>
      <c r="I148">
        <f t="shared" si="83"/>
        <v>-0.74819518637311222</v>
      </c>
      <c r="J148">
        <f t="shared" si="84"/>
        <v>-0.4492076110956893</v>
      </c>
      <c r="K148">
        <f t="shared" si="85"/>
        <v>-2.5113765986007897E-3</v>
      </c>
      <c r="L148">
        <f t="shared" si="86"/>
        <v>-59.019888885316249</v>
      </c>
      <c r="M148" s="5">
        <f>'sv10'!$AA$3+'sv10'!$Z$3*($B148)+'sv10'!$Y$3*($B148)^2+'sv10'!$X$3*($B148)^3+'sv10'!$W$3*($B148)^4+'sv10'!$V$3*($B148)^5+'sv10'!$U$3*($B148)^6+'sv10'!$T$3*($B148)^7+'sv10'!$S$3*($B148)^8</f>
        <v>8436.6325825613985</v>
      </c>
      <c r="N148" s="5">
        <f>'sv10'!$AA$4+'sv10'!$Z$4*($B148)+'sv10'!$Y$4*($B148)^2+'sv10'!$X$4*($B148)^3+'sv10'!$W$4*($B148)^4+'sv10'!$V$4*($B148)^5+'sv10'!$U$4*($B148)^6+'sv10'!$T$4*($B148)^7+'sv10'!$S$4*($B148)^8</f>
        <v>-15533.260500121029</v>
      </c>
      <c r="O148" s="5">
        <f>'sv10'!$AA$5+'sv10'!$Z$5*($B148)+'sv10'!$Y$5*($B148)^2+'sv10'!$X$5*($B148)^3+'sv10'!$W$5*($B148)^4+'sv10'!$V$5*($B148)^5+'sv10'!$U$5*($B148)^6+'sv10'!$T$5*($B148)^7+'sv10'!$S$5*($B148)^8</f>
        <v>19529.807372195432</v>
      </c>
      <c r="P148" s="5">
        <f>'sv10'!$AA$6+'sv10'!$Z$6*$B148+'sv10'!$Y$6*$B148^2+'sv10'!$X$6*$B148^3+'sv10'!$W$6*$B148^4+'sv10'!$V$6*$B148^5+'sv10'!$U$6*$B148^6+'sv10'!$T$6*$B148^7+'sv10'!$S$6*$B148^8</f>
        <v>-43.001825224927678</v>
      </c>
      <c r="R148">
        <f>SQRT(($M148*1000-coord!$B$2)^2+($N148*1000-coord!$C$2)^2+($O148*1000-coord!$D$2)^2)/coord!$B$6</f>
        <v>7.551755455827161E-2</v>
      </c>
      <c r="T148" s="5">
        <f>'sv10'!$AA$3+'sv10'!$Z$3*($B148-$R148/3600)+'sv10'!$Y$3*($B148-$R148/3600)^2+'sv10'!$X$3*($B148-$R148/3600)^3+'sv10'!$W$3*($B148-$R148/3600)^4+'sv10'!$V$3*($B148-$R148/3600)^5+'sv10'!$U$3*($B148-$R148/3600)^6+'sv10'!$T$3*($B148-$R148/3600)^7+'sv10'!$S$3*($B148-$R148/3600)^8+N148*coord!$B$7*R148</f>
        <v>8436.4615344009726</v>
      </c>
      <c r="U148" s="5">
        <f>'sv10'!$AA$4+'sv10'!$Z$4*($B148-$R148/3600)+'sv10'!$Y$4*($B148-$R148/3600)^2+'sv10'!$X$4*($B148-$R148/3600)^3+'sv10'!$W$4*($B148-$R148/3600)^4+'sv10'!$V$4*($B148-$R148/3600)^5+'sv10'!$U$4*($B148-$R148/3600)^6+'sv10'!$T$4*($B148-$R148/3600)^7+'sv10'!$S$4*($B148-$R148/3600)^8-M148*coord!$B$7*R148</f>
        <v>-15533.478479588808</v>
      </c>
      <c r="V148" s="5">
        <f>'sv10'!$AA$5+'sv10'!$Z$5*($B148-$R148/3600)+'sv10'!$Y$5*($B148-$R148/3600)^2+'sv10'!$X$5*($B148-$R148/3600)^3+'sv10'!$W$5*($B148-$R148/3600)^4+'sv10'!$V$5*($B148-$R148/3600)^5+'sv10'!$U$5*($B148-$R148/3600)^6+'sv10'!$T$5*($B148-$R148/3600)^7+'sv10'!$S$5*($B148-$R148/3600)^8</f>
        <v>19529.706247430509</v>
      </c>
      <c r="W148">
        <f>coord!$B$6*P148/10^6</f>
        <v>-12891.622882667471</v>
      </c>
      <c r="X148">
        <f>SQRT(($T148*1000+coord!$B$7*$R148*$U148*1000-coord!$B$2)^2+($U148*1000-coord!$B$7*$R148*$T148*1000-coord!$C$2)^2+($V148*1000-coord!$D$2)^2)</f>
        <v>22639672.616774809</v>
      </c>
      <c r="Y148" s="3">
        <f>$D148-(X148-$W148)-coord!$E$2</f>
        <v>-94.145844683051109</v>
      </c>
      <c r="Z148" s="3"/>
      <c r="AB148">
        <f>-(T148*1000-coord!$B$2)/$X148</f>
        <v>-0.17878276917316932</v>
      </c>
      <c r="AC148">
        <f>-(U148*1000-coord!$C$2)/$X148</f>
        <v>0.7269561257080307</v>
      </c>
      <c r="AD148">
        <f>-(V148*1000-coord!$D$2)/$X148</f>
        <v>-0.66300066379974076</v>
      </c>
      <c r="AE148">
        <v>1</v>
      </c>
      <c r="AG148">
        <v>-0.71017307502376181</v>
      </c>
      <c r="AH148">
        <v>-0.77442351941020582</v>
      </c>
      <c r="AI148">
        <v>-0.66300066379974076</v>
      </c>
      <c r="AJ148">
        <v>-0.36913268680943601</v>
      </c>
      <c r="AK148">
        <v>2.2166864869234092E-2</v>
      </c>
      <c r="AL148">
        <v>-0.85631540706659548</v>
      </c>
      <c r="AM148">
        <v>-5.6677544710104263E-2</v>
      </c>
      <c r="AO148">
        <v>1.1239725949681254</v>
      </c>
      <c r="AP148">
        <v>-0.41127508319262113</v>
      </c>
      <c r="AQ148">
        <v>2.4168861949265708</v>
      </c>
      <c r="AR148">
        <v>-3.4075560319506102</v>
      </c>
      <c r="AT148">
        <v>1.6803988634297544</v>
      </c>
      <c r="AU148">
        <v>0.48545764398255631</v>
      </c>
      <c r="AV148">
        <v>2.6449189914125903</v>
      </c>
      <c r="AW148">
        <v>2.0781855878054856</v>
      </c>
      <c r="AY148">
        <v>115.22905321760275</v>
      </c>
      <c r="BA148">
        <v>42.833991078403301</v>
      </c>
      <c r="BD148">
        <f>SQRT(($T148*1000+coord!$B$7*$R148*$U148*1000-coord!$B$2-BA$146)^2+($U148*1000-coord!$B$7*$R148*$T148*1000-coord!$C$2-BA$147)^2+($V148*1000-coord!$D$2-BA$148)^2)</f>
        <v>22639564.687174562</v>
      </c>
      <c r="BE148" s="3">
        <f t="shared" si="87"/>
        <v>3.305965213467644</v>
      </c>
      <c r="BG148" s="1"/>
      <c r="BH148" s="1"/>
      <c r="BI148" s="1"/>
      <c r="BV148">
        <f>COS(RADIANS(BK146))</f>
        <v>0.70200924642786833</v>
      </c>
      <c r="BW148">
        <v>0</v>
      </c>
      <c r="BX148">
        <f>SIN(RADIANS(BK146))</f>
        <v>0.71216782988968019</v>
      </c>
      <c r="BZ148" t="s">
        <v>95</v>
      </c>
      <c r="CA148">
        <v>0.68693564160612774</v>
      </c>
      <c r="CB148">
        <v>0.14469418219611033</v>
      </c>
      <c r="CC148">
        <v>0.71216782988968019</v>
      </c>
      <c r="CD148">
        <v>0</v>
      </c>
      <c r="CE148" s="1">
        <v>16.380046687236987</v>
      </c>
      <c r="CG148" s="1"/>
      <c r="CH148" s="1"/>
      <c r="CI148" s="1"/>
      <c r="CK148">
        <v>3.0254688199006692</v>
      </c>
      <c r="CL148">
        <v>0.56745382481105788</v>
      </c>
      <c r="CM148">
        <v>3.1081949865395391</v>
      </c>
      <c r="CN148">
        <v>2.9250143071026518</v>
      </c>
      <c r="CP148">
        <v>0.70200924642786822</v>
      </c>
      <c r="CQ148">
        <v>2.8364623324162018E-17</v>
      </c>
      <c r="CR148">
        <v>0.71216782988968019</v>
      </c>
      <c r="CS148">
        <v>0</v>
      </c>
      <c r="CU148" s="5">
        <v>-9.6907076773065093E-3</v>
      </c>
      <c r="CV148" s="5">
        <v>-6.8323144846000577E-2</v>
      </c>
      <c r="CW148" s="5">
        <v>4.3739661105107386</v>
      </c>
      <c r="CX148" s="5">
        <v>2.9250143071026518</v>
      </c>
    </row>
    <row r="149" spans="1:111">
      <c r="A149">
        <v>40</v>
      </c>
      <c r="B149">
        <f t="shared" si="82"/>
        <v>0.58333333333333326</v>
      </c>
      <c r="C149">
        <v>4</v>
      </c>
      <c r="D149">
        <f>tetto!D149*coord!$B$13-tetto!G149*coord!$B$14</f>
        <v>21254692.819842856</v>
      </c>
      <c r="E149" s="5">
        <f>90-DEGREES(ACOS((coord!$B$2*($T149*1000-coord!$B$2)+coord!$C$2*($U149*1000-coord!$C$2)+coord!$D$2*($V149*1000-coord!$D$2))/(SQRT(coord!$B$2^2+coord!$C$2^2+coord!$D$2^2)*SQRT(($T149*1000-coord!$B$2)^2+($U149*1000-coord!$C$2)^2+($V149*1000-coord!$D$2)^2))))</f>
        <v>52.975395708257807</v>
      </c>
      <c r="F149">
        <f>(coord!$C$2*($V149*1000-coord!$D$2)-coord!$D$2*($U149*1000-coord!$C$2))/(SQRT(coord!$B$2^2+coord!$C$2^2+coord!$D$2^2)*SQRT(($T149*1000-coord!$B$2)^2+($U149*1000-coord!$C$2)^2+($V149*1000-coord!$D$2)^2))</f>
        <v>0.31228629089590271</v>
      </c>
      <c r="G149">
        <f>(-coord!$B$2*($V149*1000-coord!$D$2)+coord!$D$2*($T149*1000-coord!$B$2))/(SQRT(coord!$B$2^2+coord!$C$2^2+coord!$D$2^2)*SQRT(($T149*1000-coord!$B$2)^2+($U149*1000-coord!$C$2)^2+($V149*1000-coord!$D$2)^2))</f>
        <v>0.3524020727851116</v>
      </c>
      <c r="H149">
        <f>(coord!$B$2*($U149*1000-coord!$C$2)-coord!$C$2*($T149*1000-coord!$B$2))/(SQRT(coord!$B$2^2+coord!$C$2^2+coord!$D$2^2)*SQRT(($T149*1000-coord!$B$2)^2+($U149*1000-coord!$C$2)^2+($V149*1000-coord!$D$2)^2))</f>
        <v>-0.37534546108249667</v>
      </c>
      <c r="I149">
        <f t="shared" si="83"/>
        <v>-0.53285298558203009</v>
      </c>
      <c r="J149">
        <f t="shared" si="84"/>
        <v>0.28046149925217678</v>
      </c>
      <c r="K149">
        <f t="shared" si="85"/>
        <v>-1.7907354728083913E-3</v>
      </c>
      <c r="L149">
        <f t="shared" si="86"/>
        <v>242.2404018787341</v>
      </c>
      <c r="M149" s="5">
        <f>'sv04'!$AA$3+'sv04'!$Z$3*($B149)+'sv04'!$Y$3*($B149)^2+'sv04'!$X$3*($B149)^3+'sv04'!$W$3*($B149)^4+'sv04'!$V$3*($B149)^5+'sv04'!$U$3*($B149)^6+'sv04'!$T$3*($B149)^7+'sv04'!$S$3*($B149)^8</f>
        <v>22582.672853324264</v>
      </c>
      <c r="N149" s="5">
        <f>'sv04'!$AA$4+'sv04'!$Z$4*($B149)+'sv04'!$Y$4*($B149)^2+'sv04'!$X$4*($B149)^3+'sv04'!$W$4*($B149)^4+'sv04'!$V$4*($B149)^5+'sv04'!$U$4*($B149)^6+'sv04'!$T$4*($B149)^7+'sv04'!$S$4*($B149)^8</f>
        <v>-6831.0196802973678</v>
      </c>
      <c r="O149" s="5">
        <f>'sv04'!$AA$5+'sv04'!$Z$5*($B149)+'sv04'!$Y$5*($B149)^2+'sv04'!$X$5*($B149)^3+'sv04'!$W$5*($B149)^4+'sv04'!$V$5*($B149)^5+'sv04'!$U$5*($B149)^6+'sv04'!$T$5*($B149)^7+'sv04'!$S$5*($B149)^8</f>
        <v>12374.810276581302</v>
      </c>
      <c r="P149" s="5">
        <f>'sv04'!$AA$6+'sv04'!$Z$6*$B149+'sv04'!$Y$6*$B149^2+'sv04'!$X$6*$B149^3+'sv04'!$W$6*$B149^4+'sv04'!$V$6*$B149^5+'sv04'!$U$6*$B149^6+'sv04'!$T$6*$B149^7+'sv04'!$S$6*$B149^8</f>
        <v>86.60471553228129</v>
      </c>
      <c r="R149">
        <f>SQRT(($M149*1000-coord!$B$2)^2+($N149*1000-coord!$C$2)^2+($O149*1000-coord!$D$2)^2)/coord!$B$6</f>
        <v>7.0984747741473175E-2</v>
      </c>
      <c r="T149" s="5">
        <f>'sv04'!$AA$3+'sv04'!$Z$3*($B149-$R149/3600)+'sv04'!$Y$3*($B149-$R149/3600)^2+'sv04'!$X$3*($B149-$R149/3600)^3+'sv04'!$W$3*($B149-$R149/3600)^4+'sv04'!$V$3*($B149-$R149/3600)^5+'sv04'!$U$3*($B149-$R149/3600)^6+'sv04'!$T$3*($B149-$R149/3600)^7+'sv04'!$S$3*($B149-$R149/3600)^8+N149*coord!$B$7*R149</f>
        <v>22582.527099915183</v>
      </c>
      <c r="U149" s="5">
        <f>'sv04'!$AA$4+'sv04'!$Z$4*($B149-$R149/3600)+'sv04'!$Y$4*($B149-$R149/3600)^2+'sv04'!$X$4*($B149-$R149/3600)^3+'sv04'!$W$4*($B149-$R149/3600)^4+'sv04'!$V$4*($B149-$R149/3600)^5+'sv04'!$U$4*($B149-$R149/3600)^6+'sv04'!$T$4*($B149-$R149/3600)^7+'sv04'!$S$4*($B149-$R149/3600)^8-M149*coord!$B$7*R149</f>
        <v>-6831.1665529249467</v>
      </c>
      <c r="V149" s="5">
        <f>'sv04'!$AA$5+'sv04'!$Z$5*($B149-$R149/3600)+'sv04'!$Y$5*($B149-$R149/3600)^2+'sv04'!$X$5*($B149-$R149/3600)^3+'sv04'!$W$5*($B149-$R149/3600)^4+'sv04'!$V$5*($B149-$R149/3600)^5+'sv04'!$U$5*($B149-$R149/3600)^6+'sv04'!$T$5*($B149-$R149/3600)^7+'sv04'!$S$5*($B149-$R149/3600)^8</f>
        <v>12374.990124835285</v>
      </c>
      <c r="W149">
        <f>coord!$B$6*P149/10^6</f>
        <v>25963.440543813384</v>
      </c>
      <c r="X149">
        <f>SQRT(($T149*1000+coord!$B$7*$R149*$U149*1000-coord!$B$2)^2+($U149*1000-coord!$B$7*$R149*$T149*1000-coord!$C$2)^2+($V149*1000-coord!$D$2)^2)</f>
        <v>21280699.68127916</v>
      </c>
      <c r="Y149" s="3">
        <f>$D149-(X149-$W149)-coord!$E$2</f>
        <v>-43.420892491936684</v>
      </c>
      <c r="Z149" s="3"/>
      <c r="AB149">
        <f>-(T149*1000-coord!$B$2)/$X149</f>
        <v>-0.85493659520604559</v>
      </c>
      <c r="AC149">
        <f>-(U149*1000-coord!$C$2)/$X149</f>
        <v>0.36444933119129275</v>
      </c>
      <c r="AD149">
        <f>-(V149*1000-coord!$D$2)/$X149</f>
        <v>-0.36913268680943601</v>
      </c>
      <c r="AE149">
        <v>1</v>
      </c>
      <c r="AG149">
        <v>1</v>
      </c>
      <c r="AH149">
        <v>1</v>
      </c>
      <c r="AI149">
        <v>1</v>
      </c>
      <c r="AJ149">
        <v>1</v>
      </c>
      <c r="AK149">
        <v>1</v>
      </c>
      <c r="AL149">
        <v>1</v>
      </c>
      <c r="AM149">
        <v>1</v>
      </c>
      <c r="AO149">
        <v>-3.2173073658239755</v>
      </c>
      <c r="AP149">
        <v>-0.26414211864697351</v>
      </c>
      <c r="AQ149">
        <v>-3.4075560319506102</v>
      </c>
      <c r="AR149">
        <v>7</v>
      </c>
      <c r="AT149">
        <v>2.0287912892930335</v>
      </c>
      <c r="AU149">
        <v>0.35487495179441375</v>
      </c>
      <c r="AV149">
        <v>2.078185587805486</v>
      </c>
      <c r="AW149">
        <v>2.1003594879461605</v>
      </c>
      <c r="AY149">
        <v>-51.461996361613274</v>
      </c>
      <c r="BA149">
        <v>10.477790349731876</v>
      </c>
      <c r="BD149">
        <f>SQRT(($T149*1000+coord!$B$7*$R149*$U149*1000-coord!$B$2-BA$146)^2+($U149*1000-coord!$B$7*$R149*$T149*1000-coord!$C$2-BA$147)^2+($V149*1000-coord!$D$2-BA$148)^2)</f>
        <v>21280642.192160834</v>
      </c>
      <c r="BE149" s="3">
        <f t="shared" si="87"/>
        <v>3.590435484786795</v>
      </c>
      <c r="BG149" s="1"/>
      <c r="BH149" s="1"/>
      <c r="BI149" s="1"/>
      <c r="CA149">
        <v>0</v>
      </c>
      <c r="CB149">
        <v>0</v>
      </c>
      <c r="CC149">
        <v>0</v>
      </c>
      <c r="CD149">
        <v>1</v>
      </c>
      <c r="CG149" s="1"/>
      <c r="CH149" s="1"/>
      <c r="CI149" s="1"/>
      <c r="CK149">
        <v>2.0287912892930335</v>
      </c>
      <c r="CL149">
        <v>0.35487495179441375</v>
      </c>
      <c r="CM149">
        <v>2.078185587805486</v>
      </c>
      <c r="CN149">
        <v>2.1003594879461605</v>
      </c>
      <c r="CP149">
        <v>0</v>
      </c>
      <c r="CQ149">
        <v>0</v>
      </c>
      <c r="CR149">
        <v>0</v>
      </c>
      <c r="CS149">
        <v>1</v>
      </c>
      <c r="CU149" s="5">
        <v>-7.0020497665648218E-3</v>
      </c>
      <c r="CV149" s="5">
        <v>-7.0907960263060676E-2</v>
      </c>
      <c r="CW149" s="5">
        <v>2.9250143071026526</v>
      </c>
      <c r="CX149" s="5">
        <v>2.1003594879461605</v>
      </c>
    </row>
    <row r="150" spans="1:111">
      <c r="A150">
        <v>40</v>
      </c>
      <c r="B150">
        <f t="shared" si="82"/>
        <v>0.58333333333333326</v>
      </c>
      <c r="C150">
        <v>20</v>
      </c>
      <c r="D150">
        <f>tetto!D150*coord!$B$13-tetto!G150*coord!$B$14</f>
        <v>23327340.865040794</v>
      </c>
      <c r="E150" s="5">
        <f>90-DEGREES(ACOS((coord!$B$2*($T150*1000-coord!$B$2)+coord!$C$2*($U150*1000-coord!$C$2)+coord!$D$2*($V150*1000-coord!$D$2))/(SQRT(coord!$B$2^2+coord!$C$2^2+coord!$D$2^2)*SQRT(($T150*1000-coord!$B$2)^2+($U150*1000-coord!$C$2)^2+($V150*1000-coord!$D$2)^2))))</f>
        <v>23.865532059685478</v>
      </c>
      <c r="F150">
        <f>(coord!$C$2*($V150*1000-coord!$D$2)-coord!$D$2*($U150*1000-coord!$C$2))/(SQRT(coord!$B$2^2+coord!$C$2^2+coord!$D$2^2)*SQRT(($T150*1000-coord!$B$2)^2+($U150*1000-coord!$C$2)^2+($V150*1000-coord!$D$2)^2))</f>
        <v>-0.64766581228730646</v>
      </c>
      <c r="G150">
        <f>(-coord!$B$2*($V150*1000-coord!$D$2)+coord!$D$2*($T150*1000-coord!$B$2))/(SQRT(coord!$B$2^2+coord!$C$2^2+coord!$D$2^2)*SQRT(($T150*1000-coord!$B$2)^2+($U150*1000-coord!$C$2)^2+($V150*1000-coord!$D$2)^2))</f>
        <v>0.31236221165394534</v>
      </c>
      <c r="H150">
        <f>(coord!$B$2*($U150*1000-coord!$C$2)-coord!$C$2*($T150*1000-coord!$B$2))/(SQRT(coord!$B$2^2+coord!$C$2^2+coord!$D$2^2)*SQRT(($T150*1000-coord!$B$2)^2+($U150*1000-coord!$C$2)^2+($V150*1000-coord!$D$2)^2))</f>
        <v>0.56503499741737484</v>
      </c>
      <c r="I150">
        <f t="shared" si="83"/>
        <v>0.80214575399443355</v>
      </c>
      <c r="J150">
        <f t="shared" si="84"/>
        <v>0.43915901804524721</v>
      </c>
      <c r="K150">
        <f t="shared" si="85"/>
        <v>2.6926195069971182E-3</v>
      </c>
      <c r="L150">
        <f t="shared" si="86"/>
        <v>118.6998376342498</v>
      </c>
      <c r="M150" s="5">
        <f>'sv20'!$AA$3+'sv20'!$Z$3*($B150)+'sv20'!$Y$3*($B150)^2+'sv20'!$X$3*($B150)^3+'sv20'!$W$3*($B150)^4+'sv20'!$V$3*($B150)^5+'sv20'!$U$3*($B150)^6+'sv20'!$T$3*($B150)^7+'sv20'!$S$3*($B150)^8</f>
        <v>14159.232936735632</v>
      </c>
      <c r="N150" s="5">
        <f>'sv20'!$AA$4+'sv20'!$Z$4*($B150)+'sv20'!$Y$4*($B150)^2+'sv20'!$X$4*($B150)^3+'sv20'!$W$4*($B150)^4+'sv20'!$V$4*($B150)^5+'sv20'!$U$4*($B150)^6+'sv20'!$T$4*($B150)^7+'sv20'!$S$4*($B150)^8</f>
        <v>22119.306768613093</v>
      </c>
      <c r="O150" s="5">
        <f>'sv20'!$AA$5+'sv20'!$Z$5*($B150)+'sv20'!$Y$5*($B150)^2+'sv20'!$X$5*($B150)^3+'sv20'!$W$5*($B150)^4+'sv20'!$V$5*($B150)^5+'sv20'!$U$5*($B150)^6+'sv20'!$T$5*($B150)^7+'sv20'!$S$5*($B150)^8</f>
        <v>4001.8871521402248</v>
      </c>
      <c r="P150" s="5">
        <f>'sv20'!$AA$6+'sv20'!$Z$6*$B150+'sv20'!$Y$6*$B150^2+'sv20'!$X$6*$B150^3+'sv20'!$W$6*$B150^4+'sv20'!$V$6*$B150^5+'sv20'!$U$6*$B150^6+'sv20'!$T$6*$B150^7+'sv20'!$S$6*$B150^8</f>
        <v>55.817639263742272</v>
      </c>
      <c r="R150">
        <f>SQRT(($M150*1000-coord!$B$2)^2+($N150*1000-coord!$C$2)^2+($O150*1000-coord!$D$2)^2)/coord!$B$6</f>
        <v>7.7867371591025497E-2</v>
      </c>
      <c r="T150" s="5">
        <f>'sv20'!$AA$3+'sv20'!$Z$3*($B150-$R150/3600)+'sv20'!$Y$3*($B150-$R150/3600)^2+'sv20'!$X$3*($B150-$R150/3600)^3+'sv20'!$W$3*($B150-$R150/3600)^4+'sv20'!$V$3*($B150-$R150/3600)^5+'sv20'!$U$3*($B150-$R150/3600)^6+'sv20'!$T$3*($B150-$R150/3600)^7+'sv20'!$S$3*($B150-$R150/3600)^8+N150*coord!$B$7*R150</f>
        <v>14159.364663378403</v>
      </c>
      <c r="U150" s="5">
        <f>'sv20'!$AA$4+'sv20'!$Z$4*($B150-$R150/3600)+'sv20'!$Y$4*($B150-$R150/3600)^2+'sv20'!$X$4*($B150-$R150/3600)^3+'sv20'!$W$4*($B150-$R150/3600)^4+'sv20'!$V$4*($B150-$R150/3600)^5+'sv20'!$U$4*($B150-$R150/3600)^6+'sv20'!$T$4*($B150-$R150/3600)^7+'sv20'!$S$4*($B150-$R150/3600)^8-M150*coord!$B$7*R150</f>
        <v>22119.177725482135</v>
      </c>
      <c r="V150" s="5">
        <f>'sv20'!$AA$5+'sv20'!$Z$5*($B150-$R150/3600)+'sv20'!$Y$5*($B150-$R150/3600)^2+'sv20'!$X$5*($B150-$R150/3600)^3+'sv20'!$W$5*($B150-$R150/3600)^4+'sv20'!$V$5*($B150-$R150/3600)^5+'sv20'!$U$5*($B150-$R150/3600)^6+'sv20'!$T$5*($B150-$R150/3600)^7+'sv20'!$S$5*($B150-$R150/3600)^8</f>
        <v>4002.1258014403752</v>
      </c>
      <c r="W150">
        <f>coord!$B$6*P150/10^6</f>
        <v>16733.707274634606</v>
      </c>
      <c r="X150">
        <f>SQRT(($T150*1000+coord!$B$7*$R150*$U150*1000-coord!$B$2)^2+($U150*1000-coord!$B$7*$R150*$T150*1000-coord!$C$2)^2+($V150*1000-coord!$D$2)^2)</f>
        <v>23343962.978626829</v>
      </c>
      <c r="Y150" s="3">
        <f>$D150-(X150-$W150)-coord!$E$2</f>
        <v>111.5936885997653</v>
      </c>
      <c r="Z150" s="3"/>
      <c r="AB150">
        <f>-(T150*1000-coord!$B$2)/$X150</f>
        <v>-0.41854446485903118</v>
      </c>
      <c r="AC150">
        <f>-(U150*1000-coord!$C$2)/$X150</f>
        <v>-0.90792671028854055</v>
      </c>
      <c r="AD150">
        <f>-(V150*1000-coord!$D$2)/$X150</f>
        <v>2.2166864869234092E-2</v>
      </c>
      <c r="AE150">
        <v>1</v>
      </c>
      <c r="BD150">
        <f>SQRT(($T150*1000+coord!$B$7*$R150*$U150*1000-coord!$B$2-BA$146)^2+($U150*1000-coord!$B$7*$R150*$T150*1000-coord!$C$2-BA$147)^2+($V150*1000-coord!$D$2-BA$148)^2)</f>
        <v>23344061.742332544</v>
      </c>
      <c r="BE150" s="3">
        <f t="shared" si="87"/>
        <v>2.3521925344963535</v>
      </c>
      <c r="BG150" s="1"/>
      <c r="BH150" s="1"/>
      <c r="BI150" s="1"/>
      <c r="CG150" s="1"/>
      <c r="CH150" s="1"/>
      <c r="CI150" s="1"/>
    </row>
    <row r="151" spans="1:111">
      <c r="A151">
        <v>40</v>
      </c>
      <c r="B151">
        <f t="shared" si="82"/>
        <v>0.58333333333333326</v>
      </c>
      <c r="C151">
        <v>13</v>
      </c>
      <c r="D151">
        <f>tetto!D151*coord!$B$13-tetto!G151*coord!$B$14</f>
        <v>20207602.689788315</v>
      </c>
      <c r="E151" s="5">
        <f>90-DEGREES(ACOS((coord!$B$2*($T151*1000-coord!$B$2)+coord!$C$2*($U151*1000-coord!$C$2)+coord!$D$2*($V151*1000-coord!$D$2))/(SQRT(coord!$B$2^2+coord!$C$2^2+coord!$D$2^2)*SQRT(($T151*1000-coord!$B$2)^2+($U151*1000-coord!$C$2)^2+($V151*1000-coord!$D$2)^2))))</f>
        <v>72.728040248252952</v>
      </c>
      <c r="F151">
        <f>(coord!$C$2*($V151*1000-coord!$D$2)-coord!$D$2*($U151*1000-coord!$C$2))/(SQRT(coord!$B$2^2+coord!$C$2^2+coord!$D$2^2)*SQRT(($T151*1000-coord!$B$2)^2+($U151*1000-coord!$C$2)^2+($V151*1000-coord!$D$2)^2))</f>
        <v>-5.5186467334213694E-2</v>
      </c>
      <c r="G151">
        <f>(-coord!$B$2*($V151*1000-coord!$D$2)+coord!$D$2*($T151*1000-coord!$B$2))/(SQRT(coord!$B$2^2+coord!$C$2^2+coord!$D$2^2)*SQRT(($T151*1000-coord!$B$2)^2+($U151*1000-coord!$C$2)^2+($V151*1000-coord!$D$2)^2))</f>
        <v>-0.27062520992751632</v>
      </c>
      <c r="H151">
        <f>(coord!$B$2*($U151*1000-coord!$C$2)-coord!$C$2*($T151*1000-coord!$B$2))/(SQRT(coord!$B$2^2+coord!$C$2^2+coord!$D$2^2)*SQRT(($T151*1000-coord!$B$2)^2+($U151*1000-coord!$C$2)^2+($V151*1000-coord!$D$2)^2))</f>
        <v>0.10895211244058349</v>
      </c>
      <c r="I151">
        <f t="shared" si="83"/>
        <v>0.15467143802907279</v>
      </c>
      <c r="J151">
        <f t="shared" si="84"/>
        <v>-0.25343754388729073</v>
      </c>
      <c r="K151">
        <f t="shared" si="85"/>
        <v>5.2041983469669484E-4</v>
      </c>
      <c r="L151">
        <f t="shared" si="86"/>
        <v>31.39547044415059</v>
      </c>
      <c r="M151" s="5">
        <f>'sv13'!$AA$3+'sv13'!$Z$3*($B151)+'sv13'!$Y$3*($B151)^2+'sv13'!$X$3*($B151)^3+'sv13'!$W$3*($B151)^4+'sv13'!$V$3*($B151)^5+'sv13'!$U$3*($B151)^6+'sv13'!$T$3*($B151)^7+'sv13'!$S$3*($B151)^8</f>
        <v>13528.896261272472</v>
      </c>
      <c r="N151" s="5">
        <f>'sv13'!$AA$4+'sv13'!$Z$4*($B151)+'sv13'!$Y$4*($B151)^2+'sv13'!$X$4*($B151)^3+'sv13'!$W$4*($B151)^4+'sv13'!$V$4*($B151)^5+'sv13'!$U$4*($B151)^6+'sv13'!$T$4*($B151)^7+'sv13'!$S$4*($B151)^8</f>
        <v>6058.8644498335671</v>
      </c>
      <c r="O151" s="5">
        <f>'sv13'!$AA$5+'sv13'!$Z$5*($B151)+'sv13'!$Y$5*($B151)^2+'sv13'!$X$5*($B151)^3+'sv13'!$W$5*($B151)^4+'sv13'!$V$5*($B151)^5+'sv13'!$U$5*($B151)^6+'sv13'!$T$5*($B151)^7+'sv13'!$S$5*($B151)^8</f>
        <v>21901.798661731398</v>
      </c>
      <c r="P151" s="5">
        <f>'sv13'!$AA$6+'sv13'!$Z$6*$B151+'sv13'!$Y$6*$B151^2+'sv13'!$X$6*$B151^3+'sv13'!$W$6*$B151^4+'sv13'!$V$6*$B151^5+'sv13'!$U$6*$B151^6+'sv13'!$T$6*$B151^7+'sv13'!$S$6*$B151^8</f>
        <v>304.21925875307699</v>
      </c>
      <c r="R151">
        <f>SQRT(($M151*1000-coord!$B$2)^2+($N151*1000-coord!$C$2)^2+($O151*1000-coord!$D$2)^2)/coord!$B$6</f>
        <v>6.7709579587658941E-2</v>
      </c>
      <c r="T151" s="5">
        <f>'sv13'!$AA$3+'sv13'!$Z$3*($B151-$R151/3600)+'sv13'!$Y$3*($B151-$R151/3600)^2+'sv13'!$X$3*($B151-$R151/3600)^3+'sv13'!$W$3*($B151-$R151/3600)^4+'sv13'!$V$3*($B151-$R151/3600)^5+'sv13'!$U$3*($B151-$R151/3600)^6+'sv13'!$T$3*($B151-$R151/3600)^7+'sv13'!$S$3*($B151-$R151/3600)^8+N151*coord!$B$7*R151</f>
        <v>13529.045757962253</v>
      </c>
      <c r="U151" s="5">
        <f>'sv13'!$AA$4+'sv13'!$Z$4*($B151-$R151/3600)+'sv13'!$Y$4*($B151-$R151/3600)^2+'sv13'!$X$4*($B151-$R151/3600)^3+'sv13'!$W$4*($B151-$R151/3600)^4+'sv13'!$V$4*($B151-$R151/3600)^5+'sv13'!$U$4*($B151-$R151/3600)^6+'sv13'!$T$4*($B151-$R151/3600)^7+'sv13'!$S$4*($B151-$R151/3600)^8-M151*coord!$B$7*R151</f>
        <v>6058.6500257724765</v>
      </c>
      <c r="V151" s="5">
        <f>'sv13'!$AA$5+'sv13'!$Z$5*($B151-$R151/3600)+'sv13'!$Y$5*($B151-$R151/3600)^2+'sv13'!$X$5*($B151-$R151/3600)^3+'sv13'!$W$5*($B151-$R151/3600)^4+'sv13'!$V$5*($B151-$R151/3600)^5+'sv13'!$U$5*($B151-$R151/3600)^6+'sv13'!$T$5*($B151-$R151/3600)^7+'sv13'!$S$5*($B151-$R151/3600)^8</f>
        <v>21901.766045960983</v>
      </c>
      <c r="W151">
        <f>coord!$B$6*P151/10^6</f>
        <v>91202.639352522965</v>
      </c>
      <c r="X151">
        <f>SQRT(($T151*1000+coord!$B$7*$R151*$U151*1000-coord!$B$2)^2+($U151*1000-coord!$B$7*$R151*$T151*1000-coord!$C$2)^2+($V151*1000-coord!$D$2)^2)</f>
        <v>20298803.020729925</v>
      </c>
      <c r="Y151" s="3">
        <f>$D151-(X151-$W151)-coord!$E$2</f>
        <v>2.3084109127521515</v>
      </c>
      <c r="Z151" s="3"/>
      <c r="AB151">
        <f>-(T151*1000-coord!$B$2)/$X151</f>
        <v>-0.45028111154278205</v>
      </c>
      <c r="AC151">
        <f>-(U151*1000-coord!$C$2)/$X151</f>
        <v>-0.25292524920456416</v>
      </c>
      <c r="AD151">
        <f>-(V151*1000-coord!$D$2)/$X151</f>
        <v>-0.85631540706659548</v>
      </c>
      <c r="AE151">
        <v>1</v>
      </c>
      <c r="BD151">
        <f>SQRT(($T151*1000+coord!$B$7*$R151*$U151*1000-coord!$B$2-BA$146)^2+($U151*1000-coord!$B$7*$R151*$T151*1000-coord!$C$2-BA$147)^2+($V151*1000-coord!$D$2-BA$148)^2)</f>
        <v>20298792.802549321</v>
      </c>
      <c r="BE151" s="3">
        <f t="shared" si="87"/>
        <v>2.0488011672993167</v>
      </c>
      <c r="BG151" s="1"/>
      <c r="BH151" s="1"/>
      <c r="BI151" s="1"/>
      <c r="CG151" s="1"/>
      <c r="CH151" s="1"/>
      <c r="CI151" s="1"/>
    </row>
    <row r="152" spans="1:111">
      <c r="A152">
        <v>40</v>
      </c>
      <c r="B152">
        <f t="shared" si="82"/>
        <v>0.58333333333333326</v>
      </c>
      <c r="C152">
        <v>7</v>
      </c>
      <c r="D152">
        <f>tetto!D152*coord!$B$13-tetto!G152*coord!$B$14</f>
        <v>21576585.830691718</v>
      </c>
      <c r="E152" s="5">
        <f>90-DEGREES(ACOS((coord!$B$2*($T152*1000-coord!$B$2)+coord!$C$2*($U152*1000-coord!$C$2)+coord!$D$2*($V152*1000-coord!$D$2))/(SQRT(coord!$B$2^2+coord!$C$2^2+coord!$D$2^2)*SQRT(($T152*1000-coord!$B$2)^2+($U152*1000-coord!$C$2)^2+($V152*1000-coord!$D$2)^2))))</f>
        <v>47.941941221571149</v>
      </c>
      <c r="F152">
        <f>(coord!$C$2*($V152*1000-coord!$D$2)-coord!$D$2*($U152*1000-coord!$C$2))/(SQRT(coord!$B$2^2+coord!$C$2^2+coord!$D$2^2)*SQRT(($T152*1000-coord!$B$2)^2+($U152*1000-coord!$C$2)^2+($V152*1000-coord!$D$2)^2))</f>
        <v>-0.17520714237506826</v>
      </c>
      <c r="G152">
        <f>(-coord!$B$2*($V152*1000-coord!$D$2)+coord!$D$2*($T152*1000-coord!$B$2))/(SQRT(coord!$B$2^2+coord!$C$2^2+coord!$D$2^2)*SQRT(($T152*1000-coord!$B$2)^2+($U152*1000-coord!$C$2)^2+($V152*1000-coord!$D$2)^2))</f>
        <v>0.64544117147225322</v>
      </c>
      <c r="H152">
        <f>(coord!$B$2*($U152*1000-coord!$C$2)-coord!$C$2*($T152*1000-coord!$B$2))/(SQRT(coord!$B$2^2+coord!$C$2^2+coord!$D$2^2)*SQRT(($T152*1000-coord!$B$2)^2+($U152*1000-coord!$C$2)^2+($V152*1000-coord!$D$2)^2))</f>
        <v>3.8102391317646638E-2</v>
      </c>
      <c r="I152">
        <f t="shared" si="83"/>
        <v>5.4093976991879594E-2</v>
      </c>
      <c r="J152">
        <f t="shared" si="84"/>
        <v>0.66769562699584029</v>
      </c>
      <c r="K152">
        <f t="shared" si="85"/>
        <v>1.7927261022467056E-4</v>
      </c>
      <c r="L152">
        <f t="shared" si="86"/>
        <v>175.36824553644064</v>
      </c>
      <c r="M152" s="5">
        <f>'sv07'!$AA$3+'sv07'!$Z$3*($B152)+'sv07'!$Y$3*($B152)^2+'sv07'!$X$3*($B152)^3+'sv07'!$W$3*($B152)^4+'sv07'!$V$3*($B152)^5+'sv07'!$U$3*($B152)^6+'sv07'!$T$3*($B152)^7+'sv07'!$S$3*($B152)^8</f>
        <v>25196.278370805794</v>
      </c>
      <c r="N152" s="5">
        <f>'sv07'!$AA$4+'sv07'!$Z$4*($B152)+'sv07'!$Y$4*($B152)^2+'sv07'!$X$4*($B152)^3+'sv07'!$W$4*($B152)^4+'sv07'!$V$4*($B152)^5+'sv07'!$U$4*($B152)^6+'sv07'!$T$4*($B152)^7+'sv07'!$S$4*($B152)^8</f>
        <v>6500.7834730099457</v>
      </c>
      <c r="O152" s="5">
        <f>'sv07'!$AA$5+'sv07'!$Z$5*($B152)+'sv07'!$Y$5*($B152)^2+'sv07'!$X$5*($B152)^3+'sv07'!$W$5*($B152)^4+'sv07'!$V$5*($B152)^5+'sv07'!$U$5*($B152)^6+'sv07'!$T$5*($B152)^7+'sv07'!$S$5*($B152)^8</f>
        <v>5742.7051595301618</v>
      </c>
      <c r="P152" s="5">
        <f>'sv07'!$AA$6+'sv07'!$Z$6*$B152+'sv07'!$Y$6*$B152^2+'sv07'!$X$6*$B152^3+'sv07'!$W$6*$B152^4+'sv07'!$V$6*$B152^5+'sv07'!$U$6*$B152^6+'sv07'!$T$6*$B152^7+'sv07'!$S$6*$B152^8</f>
        <v>-0.63800749252243438</v>
      </c>
      <c r="R152">
        <f>SQRT(($M152*1000-coord!$B$2)^2+($N152*1000-coord!$C$2)^2+($O152*1000-coord!$D$2)^2)/coord!$B$6</f>
        <v>7.1970894273909222E-2</v>
      </c>
      <c r="T152" s="5">
        <f>'sv07'!$AA$3+'sv07'!$Z$3*($B152-$R152/3600)+'sv07'!$Y$3*($B152-$R152/3600)^2+'sv07'!$X$3*($B152-$R152/3600)^3+'sv07'!$W$3*($B152-$R152/3600)^4+'sv07'!$V$3*($B152-$R152/3600)^5+'sv07'!$U$3*($B152-$R152/3600)^6+'sv07'!$T$3*($B152-$R152/3600)^7+'sv07'!$S$3*($B152-$R152/3600)^8+N152*coord!$B$7*R152</f>
        <v>25196.366140686467</v>
      </c>
      <c r="U152" s="5">
        <f>'sv07'!$AA$4+'sv07'!$Z$4*($B152-$R152/3600)+'sv07'!$Y$4*($B152-$R152/3600)^2+'sv07'!$X$4*($B152-$R152/3600)^3+'sv07'!$W$4*($B152-$R152/3600)^4+'sv07'!$V$4*($B152-$R152/3600)^5+'sv07'!$U$4*($B152-$R152/3600)^6+'sv07'!$T$4*($B152-$R152/3600)^7+'sv07'!$S$4*($B152-$R152/3600)^8-M152*coord!$B$7*R152</f>
        <v>6500.6403915850251</v>
      </c>
      <c r="V152" s="5">
        <f>'sv07'!$AA$5+'sv07'!$Z$5*($B152-$R152/3600)+'sv07'!$Y$5*($B152-$R152/3600)^2+'sv07'!$X$5*($B152-$R152/3600)^3+'sv07'!$W$5*($B152-$R152/3600)^4+'sv07'!$V$5*($B152-$R152/3600)^5+'sv07'!$U$5*($B152-$R152/3600)^6+'sv07'!$T$5*($B152-$R152/3600)^7+'sv07'!$S$5*($B152-$R152/3600)^8</f>
        <v>5742.4836739782877</v>
      </c>
      <c r="W152">
        <f>coord!$B$6*P152/10^6</f>
        <v>-191.26983440571723</v>
      </c>
      <c r="X152">
        <f>SQRT(($T152*1000+coord!$B$7*$R152*$U152*1000-coord!$B$2)^2+($U152*1000-coord!$B$7*$R152*$T152*1000-coord!$C$2)^2+($V152*1000-coord!$D$2)^2)</f>
        <v>21576365.13601964</v>
      </c>
      <c r="Y152" s="3">
        <f>$D152-(X152-$W152)-coord!$E$2</f>
        <v>29.424837671220303</v>
      </c>
      <c r="Z152" s="3" t="s">
        <v>127</v>
      </c>
      <c r="AA152" s="1" t="s">
        <v>128</v>
      </c>
      <c r="AB152">
        <f>-(T152*1000-coord!$B$2)/$X152</f>
        <v>-0.96436484267456124</v>
      </c>
      <c r="AC152">
        <f>-(U152*1000-coord!$C$2)/$X152</f>
        <v>-0.25843417754718651</v>
      </c>
      <c r="AD152">
        <f>-(V152*1000-coord!$D$2)/$X152</f>
        <v>-5.6677544710104263E-2</v>
      </c>
      <c r="AE152">
        <v>1</v>
      </c>
      <c r="BD152">
        <f>SQRT(($T152*1000+coord!$B$7*$R152*$U152*1000-coord!$B$2-BA$146)^2+($U152*1000-coord!$B$7*$R152*$T152*1000-coord!$C$2-BA$147)^2+($V152*1000-coord!$D$2-BA$148)^2)</f>
        <v>21576388.555617452</v>
      </c>
      <c r="BE152" s="3">
        <f t="shared" si="87"/>
        <v>-4.4725504905085103</v>
      </c>
      <c r="BF152" s="3" t="s">
        <v>127</v>
      </c>
      <c r="BG152" s="1" t="s">
        <v>128</v>
      </c>
      <c r="BH152" s="1"/>
      <c r="BI152" s="1"/>
      <c r="CG152" s="1"/>
      <c r="CH152" s="1"/>
      <c r="CI152" s="1"/>
    </row>
    <row r="153" spans="1:111">
      <c r="Y153" s="3"/>
      <c r="Z153" s="3">
        <f>AVERAGE($Y146:$Y152)</f>
        <v>-7.3517137659447531</v>
      </c>
      <c r="AA153" s="1">
        <f>SQRT(DEVSQ($Y146:$Y152)/6)</f>
        <v>76.640957197344505</v>
      </c>
      <c r="BE153" s="3"/>
      <c r="BF153" s="3">
        <f>AVERAGE($BE146:$BE152)</f>
        <v>1.8531413018203175E-4</v>
      </c>
      <c r="BG153" s="1">
        <f>SQRT(DEVSQ($BE146:$BE152)/6)</f>
        <v>3.6884188208312443</v>
      </c>
      <c r="BH153" s="1"/>
      <c r="BI153" s="1"/>
      <c r="CG153" s="1"/>
      <c r="CH153" s="1"/>
      <c r="CI153" s="1"/>
    </row>
    <row r="154" spans="1:111">
      <c r="A154">
        <v>42</v>
      </c>
      <c r="B154">
        <f t="shared" ref="B154:B160" si="88">(60-45)/60+30*A154/3600</f>
        <v>0.6</v>
      </c>
      <c r="C154">
        <v>2</v>
      </c>
      <c r="D154">
        <f>tetto!D154*coord!$B$13-tetto!G154*coord!$B$14</f>
        <v>22382911.886943318</v>
      </c>
      <c r="E154" s="5">
        <f>90-DEGREES(ACOS((coord!$B$2*($T154*1000-coord!$B$2)+coord!$C$2*($U154*1000-coord!$C$2)+coord!$D$2*($V154*1000-coord!$D$2))/(SQRT(coord!$B$2^2+coord!$C$2^2+coord!$D$2^2)*SQRT(($T154*1000-coord!$B$2)^2+($U154*1000-coord!$C$2)^2+($V154*1000-coord!$D$2)^2))))</f>
        <v>32.90303326081596</v>
      </c>
      <c r="F154">
        <f>(coord!$C$2*($V154*1000-coord!$D$2)-coord!$D$2*($U154*1000-coord!$C$2))/(SQRT(coord!$B$2^2+coord!$C$2^2+coord!$D$2^2)*SQRT(($T154*1000-coord!$B$2)^2+($U154*1000-coord!$C$2)^2+($V154*1000-coord!$D$2)^2))</f>
        <v>0.58308148276400595</v>
      </c>
      <c r="G154">
        <f>(-coord!$B$2*($V154*1000-coord!$D$2)+coord!$D$2*($T154*1000-coord!$B$2))/(SQRT(coord!$B$2^2+coord!$C$2^2+coord!$D$2^2)*SQRT(($T154*1000-coord!$B$2)^2+($U154*1000-coord!$C$2)^2+($V154*1000-coord!$D$2)^2))</f>
        <v>-0.34549908040676147</v>
      </c>
      <c r="H154">
        <f>(coord!$B$2*($U154*1000-coord!$C$2)-coord!$C$2*($T154*1000-coord!$B$2))/(SQRT(coord!$B$2^2+coord!$C$2^2+coord!$D$2^2)*SQRT(($T154*1000-coord!$B$2)^2+($U154*1000-coord!$C$2)^2+($V154*1000-coord!$D$2)^2))</f>
        <v>-0.4955397034291662</v>
      </c>
      <c r="I154">
        <f t="shared" ref="I154:I160" si="89">$F154*$CA$2+$G154*$CB$2+$H154*$CC$2</f>
        <v>-0.70348778746235574</v>
      </c>
      <c r="J154">
        <f t="shared" ref="J154:J160" si="90">$F154*$CA$3+$G154*$CB$3+$H154*$CC$3</f>
        <v>-0.45827130118101955</v>
      </c>
      <c r="K154">
        <f t="shared" ref="K154:K160" si="91">$F154*$CA$4+$G154*$CB$4+$H154*$CC$4</f>
        <v>-2.3611827609238967E-3</v>
      </c>
      <c r="L154">
        <f t="shared" ref="L154:L160" si="92">90+DEGREES(ATAN2(I154,J154))</f>
        <v>-56.918672171702269</v>
      </c>
      <c r="M154" s="5">
        <f>'sv02'!$AA$3+'sv02'!$Z$3*($B154)+'sv02'!$Y$3*($B154)^2+'sv02'!$X$3*($B154)^3+'sv02'!$W$3*($B154)^4+'sv02'!$V$3*($B154)^5+'sv02'!$U$3*($B154)^6+'sv02'!$T$3*($B154)^7+'sv02'!$S$3*($B154)^8</f>
        <v>8906.9042582689781</v>
      </c>
      <c r="N154" s="5">
        <f>'sv02'!$AA$4+'sv02'!$Z$4*($B154)+'sv02'!$Y$4*($B154)^2+'sv02'!$X$4*($B154)^3+'sv02'!$W$4*($B154)^4+'sv02'!$V$4*($B154)^5+'sv02'!$U$4*($B154)^6+'sv02'!$T$4*($B154)^7+'sv02'!$S$4*($B154)^8</f>
        <v>-14270.961915195739</v>
      </c>
      <c r="O154" s="5">
        <f>'sv02'!$AA$5+'sv02'!$Z$5*($B154)+'sv02'!$Y$5*($B154)^2+'sv02'!$X$5*($B154)^3+'sv02'!$W$5*($B154)^4+'sv02'!$V$5*($B154)^5+'sv02'!$U$5*($B154)^6+'sv02'!$T$5*($B154)^7+'sv02'!$S$5*($B154)^8</f>
        <v>20430.020363037285</v>
      </c>
      <c r="P154" s="5">
        <f>'sv02'!$AA$6+'sv02'!$Z$6*$B154+'sv02'!$Y$6*$B154^2+'sv02'!$X$6*$B154^3+'sv02'!$W$6*$B154^4+'sv02'!$V$6*$B154^5+'sv02'!$U$6*$B154^6+'sv02'!$T$6*$B154^7+'sv02'!$S$6*$B154^8</f>
        <v>257.59384507321153</v>
      </c>
      <c r="R154">
        <f>SQRT(($M154*1000-coord!$B$2)^2+($N154*1000-coord!$C$2)^2+($O154*1000-coord!$D$2)^2)/coord!$B$6</f>
        <v>7.4919016000267513E-2</v>
      </c>
      <c r="T154" s="5">
        <f>'sv02'!$AA$3+'sv02'!$Z$3*($B154-$R154/3600)+'sv02'!$Y$3*($B154-$R154/3600)^2+'sv02'!$X$3*($B154-$R154/3600)^3+'sv02'!$W$3*($B154-$R154/3600)^4+'sv02'!$V$3*($B154-$R154/3600)^5+'sv02'!$U$3*($B154-$R154/3600)^6+'sv02'!$T$3*($B154-$R154/3600)^7+'sv02'!$S$3*($B154-$R154/3600)^8+N154*coord!$B$7*R154</f>
        <v>8906.6314725068078</v>
      </c>
      <c r="U154" s="5">
        <f>'sv02'!$AA$4+'sv02'!$Z$4*($B154-$R154/3600)+'sv02'!$Y$4*($B154-$R154/3600)^2+'sv02'!$X$4*($B154-$R154/3600)^3+'sv02'!$W$4*($B154-$R154/3600)^4+'sv02'!$V$4*($B154-$R154/3600)^5+'sv02'!$U$4*($B154-$R154/3600)^6+'sv02'!$T$4*($B154-$R154/3600)^7+'sv02'!$S$4*($B154-$R154/3600)^8-M154*coord!$B$7*R154</f>
        <v>-14271.035241035139</v>
      </c>
      <c r="V154" s="5">
        <f>'sv02'!$AA$5+'sv02'!$Z$5*($B154-$R154/3600)+'sv02'!$Y$5*($B154-$R154/3600)^2+'sv02'!$X$5*($B154-$R154/3600)^3+'sv02'!$W$5*($B154-$R154/3600)^4+'sv02'!$V$5*($B154-$R154/3600)^5+'sv02'!$U$5*($B154-$R154/3600)^6+'sv02'!$T$5*($B154-$R154/3600)^7+'sv02'!$S$5*($B154-$R154/3600)^8</f>
        <v>20430.091408607179</v>
      </c>
      <c r="W154">
        <f>coord!$B$6*P154/10^6</f>
        <v>77224.691980169271</v>
      </c>
      <c r="X154">
        <f>SQRT(($T154*1000+coord!$B$7*$R154*$U154*1000-coord!$B$2)^2+($U154*1000-coord!$B$7*$R154*$T154*1000-coord!$C$2)^2+($V154*1000-coord!$D$2)^2)</f>
        <v>22460218.261350982</v>
      </c>
      <c r="Y154" s="3">
        <f>$D154-(X154-$W154)-coord!$E$2</f>
        <v>-81.682427495718002</v>
      </c>
      <c r="Z154" s="3"/>
      <c r="AB154">
        <f>-(T154*1000-coord!$B$2)/$X154</f>
        <v>-0.20114467495985344</v>
      </c>
      <c r="AC154">
        <f>-(U154*1000-coord!$C$2)/$X154</f>
        <v>0.67655644648758295</v>
      </c>
      <c r="AD154">
        <f>-(V154*1000-coord!$D$2)/$X154</f>
        <v>-0.70838595374140234</v>
      </c>
      <c r="AE154">
        <v>1</v>
      </c>
      <c r="AG154">
        <f t="array" ref="AG154:AM157">TRANSPOSE(AB154:AE160)</f>
        <v>-0.20114467495985344</v>
      </c>
      <c r="AH154">
        <v>-0.15162195549243726</v>
      </c>
      <c r="AI154">
        <v>-0.18206902387189677</v>
      </c>
      <c r="AJ154">
        <v>-0.85870585399395361</v>
      </c>
      <c r="AK154">
        <v>-0.41768396406059521</v>
      </c>
      <c r="AL154">
        <v>-0.44484475471029516</v>
      </c>
      <c r="AM154">
        <v>-0.96360818351432698</v>
      </c>
      <c r="AO154">
        <f t="array" ref="AO154:AR157">MMULT(AG154:AM157,AB154:AE160)</f>
        <v>2.1348607517516225</v>
      </c>
      <c r="AP154">
        <v>0.25889034838898928</v>
      </c>
      <c r="AQ154">
        <v>1.1233139174832358</v>
      </c>
      <c r="AR154">
        <v>-3.2196784106033585</v>
      </c>
      <c r="AT154">
        <f t="array" ref="AT154:AW157">MINVERSE(AO154:AR157)</f>
        <v>2.623287990297789</v>
      </c>
      <c r="AU154">
        <v>0.23689688087301528</v>
      </c>
      <c r="AV154">
        <v>1.6909604424536213</v>
      </c>
      <c r="AW154">
        <v>2.037832183600548</v>
      </c>
      <c r="AY154">
        <f t="array" ref="AY154:AY157">MMULT(AG154:AM157,Y154:Y160)</f>
        <v>-5.5606218582555176</v>
      </c>
      <c r="BA154">
        <f t="array" ref="BA154:BA157">MMULT(AT154:AW157,AY154:AY157)</f>
        <v>6.0076762503403529</v>
      </c>
      <c r="BD154">
        <f>SQRT(($T154*1000+coord!$B$7*$R154*$U154*1000-coord!$B$2-BA$154)^2+($U154*1000-coord!$B$7*$R154*$T154*1000-coord!$C$2-BA$155)^2+($V154*1000-coord!$D$2-BA$156)^2)</f>
        <v>22460130.03498029</v>
      </c>
      <c r="BE154" s="3">
        <f>$D154-(BD154-$W154)-BA$157</f>
        <v>-4.8241137918695074</v>
      </c>
      <c r="BG154" s="1">
        <f>coord!$B$2+$BA154</f>
        <v>4388884.1784762507</v>
      </c>
      <c r="BH154" s="1">
        <f>coord!$C$2+$BA155</f>
        <v>924480.27606055466</v>
      </c>
      <c r="BI154" s="1">
        <f>coord!$D$2+$BA156</f>
        <v>4519625.2178206667</v>
      </c>
      <c r="BJ154" s="1">
        <f>coord!$E$2+$BA157</f>
        <v>11.368056988404618</v>
      </c>
      <c r="BK154" s="8">
        <f>lat($BG154,$BH154,$BI154)</f>
        <v>45.411485747275144</v>
      </c>
      <c r="BL154" s="8">
        <f>lon($BG154,$BH154,$BI154)</f>
        <v>11.894966491326302</v>
      </c>
      <c r="BM154" s="6">
        <f>h($BG154,$BH154,$BI154)</f>
        <v>79.543656742200255</v>
      </c>
      <c r="BO154">
        <f>grado($BK154)</f>
        <v>45</v>
      </c>
      <c r="BP154">
        <f>MINUTOprimo($BK154)</f>
        <v>24</v>
      </c>
      <c r="BQ154">
        <f>MINUTOsecondo($BK154)</f>
        <v>41.348690190517914</v>
      </c>
      <c r="BR154">
        <f>grado($BL154)</f>
        <v>11</v>
      </c>
      <c r="BS154">
        <f>MINUTOprimo($BL154)</f>
        <v>53</v>
      </c>
      <c r="BT154">
        <f>MINUTOsecondo($BL154)</f>
        <v>41.879368774688857</v>
      </c>
      <c r="BV154">
        <f>-SIN(RADIANS(BK154))*COS(RADIANS(BL154))</f>
        <v>-0.69687449954342939</v>
      </c>
      <c r="BW154">
        <f>-SIN(RADIANS(BL154))</f>
        <v>-0.20611822131531166</v>
      </c>
      <c r="BX154">
        <f>COS(RADIANS(BK154))*COS(RADIANS(BL154))</f>
        <v>0.68693610381745629</v>
      </c>
      <c r="BZ154" t="s">
        <v>93</v>
      </c>
      <c r="CA154">
        <f t="array" ref="CA154:CC156">MINVERSE(BV154:BX156)</f>
        <v>-0.69687449954342939</v>
      </c>
      <c r="CB154">
        <v>-0.14679055165704985</v>
      </c>
      <c r="CC154">
        <v>0.70201030322233438</v>
      </c>
      <c r="CD154">
        <v>0</v>
      </c>
      <c r="CE154" s="1">
        <f t="array" ref="CE154:CE156">MMULT(CA154:CC156,BA154:BA156)</f>
        <v>34.950058078664803</v>
      </c>
      <c r="CG154" s="1">
        <f t="array" ref="CG154:CI154">TRANSPOSE(CE154:CE156)</f>
        <v>34.950058078664803</v>
      </c>
      <c r="CH154" s="1">
        <v>-89.244219483729111</v>
      </c>
      <c r="CI154" s="1">
        <v>17.423193560146089</v>
      </c>
      <c r="CK154">
        <f t="array" ref="CK154:CN157">MMULT(CA154:CD157,AT154:AW157)</f>
        <v>-0.67580507628240549</v>
      </c>
      <c r="CL154">
        <v>0.11081362721002957</v>
      </c>
      <c r="CM154">
        <v>0.61016094425504286</v>
      </c>
      <c r="CN154">
        <v>-9.871909691557379E-3</v>
      </c>
      <c r="CP154">
        <f t="array" ref="CP154:CS157">TRANSPOSE(CA154:CD157)</f>
        <v>-0.69687449954342939</v>
      </c>
      <c r="CQ154">
        <v>-0.20611822131531168</v>
      </c>
      <c r="CR154">
        <v>0.68693610381745629</v>
      </c>
      <c r="CS154">
        <v>0</v>
      </c>
      <c r="CU154" s="5">
        <f t="array" ref="CU154:CX157">MMULT(CK154:CN157,CP154:CS157)</f>
        <v>0.88302420034484008</v>
      </c>
      <c r="CV154" s="5">
        <v>0.24772987718020881</v>
      </c>
      <c r="CW154" s="5">
        <v>-1.3664133940770762E-2</v>
      </c>
      <c r="CX154" s="5">
        <v>-9.871909691557379E-3</v>
      </c>
      <c r="CZ154" s="3">
        <f>SQRT(CU154+CV155)</f>
        <v>1.1769954936009701</v>
      </c>
      <c r="DA154" s="3">
        <f>CW156</f>
        <v>4.3980986929738419</v>
      </c>
      <c r="DB154" s="3">
        <f>CX157</f>
        <v>2.1091564379729628</v>
      </c>
      <c r="DC154" s="3">
        <f>BG161</f>
        <v>3.560179444176681</v>
      </c>
      <c r="DD154">
        <v>6</v>
      </c>
      <c r="DE154" s="6">
        <f>DB154*DD154*DC154</f>
        <v>45.053852370145506</v>
      </c>
      <c r="DF154">
        <v>5.33</v>
      </c>
      <c r="DG154" s="6">
        <f>DC154*DF154*SQRT(0.5*(CU154+CV155)+SQRT((0.5*(CU154-CV155))^2+CV154^2))</f>
        <v>19.023926640456082</v>
      </c>
    </row>
    <row r="155" spans="1:111">
      <c r="A155">
        <v>42</v>
      </c>
      <c r="B155">
        <f t="shared" si="88"/>
        <v>0.6</v>
      </c>
      <c r="C155">
        <v>23</v>
      </c>
      <c r="D155">
        <f>tetto!D155*coord!$B$13-tetto!G155*coord!$B$14</f>
        <v>21310844.198885359</v>
      </c>
      <c r="E155" s="5">
        <f>90-DEGREES(ACOS((coord!$B$2*($T155*1000-coord!$B$2)+coord!$C$2*($U155*1000-coord!$C$2)+coord!$D$2*($V155*1000-coord!$D$2))/(SQRT(coord!$B$2^2+coord!$C$2^2+coord!$D$2^2)*SQRT(($T155*1000-coord!$B$2)^2+($U155*1000-coord!$C$2)^2+($V155*1000-coord!$D$2)^2))))</f>
        <v>47.873905127342958</v>
      </c>
      <c r="F155">
        <f>(coord!$C$2*($V155*1000-coord!$D$2)-coord!$D$2*($U155*1000-coord!$C$2))/(SQRT(coord!$B$2^2+coord!$C$2^2+coord!$D$2^2)*SQRT(($T155*1000-coord!$B$2)^2+($U155*1000-coord!$C$2)^2+($V155*1000-coord!$D$2)^2))</f>
        <v>-0.32689497294540198</v>
      </c>
      <c r="G155">
        <f>(-coord!$B$2*($V155*1000-coord!$D$2)+coord!$D$2*($T155*1000-coord!$B$2))/(SQRT(coord!$B$2^2+coord!$C$2^2+coord!$D$2^2)*SQRT(($T155*1000-coord!$B$2)^2+($U155*1000-coord!$C$2)^2+($V155*1000-coord!$D$2)^2))</f>
        <v>-0.42392941377962529</v>
      </c>
      <c r="H155">
        <f>(coord!$B$2*($U155*1000-coord!$C$2)-coord!$C$2*($T155*1000-coord!$B$2))/(SQRT(coord!$B$2^2+coord!$C$2^2+coord!$D$2^2)*SQRT(($T155*1000-coord!$B$2)^2+($U155*1000-coord!$C$2)^2+($V155*1000-coord!$D$2)^2))</f>
        <v>0.40416396550352268</v>
      </c>
      <c r="I155">
        <f t="shared" si="89"/>
        <v>0.57376453326177179</v>
      </c>
      <c r="J155">
        <f t="shared" si="90"/>
        <v>-0.34744139635455146</v>
      </c>
      <c r="K155">
        <f t="shared" si="91"/>
        <v>1.9283895211261171E-3</v>
      </c>
      <c r="L155">
        <f t="shared" si="92"/>
        <v>58.803123969190949</v>
      </c>
      <c r="M155" s="5">
        <f>'sv23'!$AA$3+'sv23'!$Z$3*($B155)+'sv23'!$Y$3*($B155)^2+'sv23'!$X$3*($B155)^3+'sv23'!$W$3*($B155)^4+'sv23'!$V$3*($B155)^5+'sv23'!$U$3*($B155)^6+'sv23'!$T$3*($B155)^7+'sv23'!$S$3*($B155)^8</f>
        <v>7636.6945984044914</v>
      </c>
      <c r="N155" s="5">
        <f>'sv23'!$AA$4+'sv23'!$Z$4*($B155)+'sv23'!$Y$4*($B155)^2+'sv23'!$X$4*($B155)^3+'sv23'!$W$4*($B155)^4+'sv23'!$V$4*($B155)^5+'sv23'!$U$4*($B155)^6+'sv23'!$T$4*($B155)^7+'sv23'!$S$4*($B155)^8</f>
        <v>14169.908358959292</v>
      </c>
      <c r="O155" s="5">
        <f>'sv23'!$AA$5+'sv23'!$Z$5*($B155)+'sv23'!$Y$5*($B155)^2+'sv23'!$X$5*($B155)^3+'sv23'!$W$5*($B155)^4+'sv23'!$V$5*($B155)^5+'sv23'!$U$5*($B155)^6+'sv23'!$T$5*($B155)^7+'sv23'!$S$5*($B155)^8</f>
        <v>21039.46638895791</v>
      </c>
      <c r="P155" s="5">
        <f>'sv23'!$AA$6+'sv23'!$Z$6*$B155+'sv23'!$Y$6*$B155^2+'sv23'!$X$6*$B155^3+'sv23'!$W$6*$B155^4+'sv23'!$V$6*$B155^5+'sv23'!$U$6*$B155^6+'sv23'!$T$6*$B155^7+'sv23'!$S$6*$B155^8</f>
        <v>370.0558548529246</v>
      </c>
      <c r="R155">
        <f>SQRT(($M155*1000-coord!$B$2)^2+($N155*1000-coord!$C$2)^2+($O155*1000-coord!$D$2)^2)/coord!$B$6</f>
        <v>7.1455445165761952E-2</v>
      </c>
      <c r="T155" s="5">
        <f>'sv23'!$AA$3+'sv23'!$Z$3*($B155-$R155/3600)+'sv23'!$Y$3*($B155-$R155/3600)^2+'sv23'!$X$3*($B155-$R155/3600)^3+'sv23'!$W$3*($B155-$R155/3600)^4+'sv23'!$V$3*($B155-$R155/3600)^5+'sv23'!$U$3*($B155-$R155/3600)^6+'sv23'!$T$3*($B155-$R155/3600)^7+'sv23'!$S$3*($B155-$R155/3600)^8+N155*coord!$B$7*R155</f>
        <v>7636.8855416869601</v>
      </c>
      <c r="U155" s="5">
        <f>'sv23'!$AA$4+'sv23'!$Z$4*($B155-$R155/3600)+'sv23'!$Y$4*($B155-$R155/3600)^2+'sv23'!$X$4*($B155-$R155/3600)^3+'sv23'!$W$4*($B155-$R155/3600)^4+'sv23'!$V$4*($B155-$R155/3600)^5+'sv23'!$U$4*($B155-$R155/3600)^6+'sv23'!$T$4*($B155-$R155/3600)^7+'sv23'!$S$4*($B155-$R155/3600)^8-M155*coord!$B$7*R155</f>
        <v>14169.716703732776</v>
      </c>
      <c r="V155" s="5">
        <f>'sv23'!$AA$5+'sv23'!$Z$5*($B155-$R155/3600)+'sv23'!$Y$5*($B155-$R155/3600)^2+'sv23'!$X$5*($B155-$R155/3600)^3+'sv23'!$W$5*($B155-$R155/3600)^4+'sv23'!$V$5*($B155-$R155/3600)^5+'sv23'!$U$5*($B155-$R155/3600)^6+'sv23'!$T$5*($B155-$R155/3600)^7+'sv23'!$S$5*($B155-$R155/3600)^8</f>
        <v>21039.528295353623</v>
      </c>
      <c r="W155">
        <f>coord!$B$6*P155/10^6</f>
        <v>110939.95432364949</v>
      </c>
      <c r="X155">
        <f>SQRT(($T155*1000+coord!$B$7*$R155*$U155*1000-coord!$B$2)^2+($U155*1000-coord!$B$7*$R155*$T155*1000-coord!$C$2)^2+($V155*1000-coord!$D$2)^2)</f>
        <v>21421748.323572882</v>
      </c>
      <c r="Y155" s="3">
        <f>$D155-(X155-$W155)-coord!$E$2</f>
        <v>35.829636126756668</v>
      </c>
      <c r="Z155" s="3"/>
      <c r="AB155">
        <f>-(T155*1000-coord!$B$2)/$X155</f>
        <v>-0.15162195549243726</v>
      </c>
      <c r="AC155">
        <f>-(U155*1000-coord!$C$2)/$X155</f>
        <v>-0.61830371127820483</v>
      </c>
      <c r="AD155">
        <f>-(V155*1000-coord!$D$2)/$X155</f>
        <v>-0.77117608570140739</v>
      </c>
      <c r="AE155">
        <v>1</v>
      </c>
      <c r="AG155">
        <v>0.67655644648758295</v>
      </c>
      <c r="AH155">
        <v>-0.61830371127820483</v>
      </c>
      <c r="AI155">
        <v>0.72200075502104621</v>
      </c>
      <c r="AJ155">
        <v>0.36301899083541006</v>
      </c>
      <c r="AK155">
        <v>-0.9080977968391547</v>
      </c>
      <c r="AL155">
        <v>-0.25925275375748691</v>
      </c>
      <c r="AM155">
        <v>-0.25921640293426423</v>
      </c>
      <c r="AO155">
        <v>0.25889034838898928</v>
      </c>
      <c r="AP155">
        <v>2.4521427251275738</v>
      </c>
      <c r="AQ155">
        <v>-0.40376007279915294</v>
      </c>
      <c r="AR155">
        <v>-0.2832944724650715</v>
      </c>
      <c r="AT155">
        <v>0.23689688087301511</v>
      </c>
      <c r="AU155">
        <v>0.50798674482404571</v>
      </c>
      <c r="AV155">
        <v>0.49923580239534582</v>
      </c>
      <c r="AW155">
        <v>0.37210338756930589</v>
      </c>
      <c r="AY155">
        <v>-237.12019911356333</v>
      </c>
      <c r="BA155">
        <v>-89.93713944533161</v>
      </c>
      <c r="BD155">
        <f>SQRT(($T155*1000+coord!$B$7*$R155*$U155*1000-coord!$B$2-BA$154)^2+($U155*1000-coord!$B$7*$R155*$T155*1000-coord!$C$2-BA$155)^2+($V155*1000-coord!$D$2-BA$156)^2)</f>
        <v>21421774.531202395</v>
      </c>
      <c r="BE155" s="3">
        <f t="shared" ref="BE155:BE160" si="93">$D155-(BD155-$W155)-BA$157</f>
        <v>-1.7460503746434313</v>
      </c>
      <c r="BG155" s="1"/>
      <c r="BH155" s="1"/>
      <c r="BI155" s="1"/>
      <c r="BV155">
        <f>-SIN(RADIANS(BK154))*SIN(RADIANS(BL154))</f>
        <v>-0.14679055165704982</v>
      </c>
      <c r="BW155">
        <f>COS(RADIANS(BL154))</f>
        <v>0.97852709663136672</v>
      </c>
      <c r="BX155">
        <f>COS(RADIANS(BK154))*SIN(RADIANS(BL154))</f>
        <v>0.14469711504521016</v>
      </c>
      <c r="BZ155" t="s">
        <v>94</v>
      </c>
      <c r="CA155">
        <v>-0.20611822131531168</v>
      </c>
      <c r="CB155">
        <v>0.97852709663136683</v>
      </c>
      <c r="CC155">
        <v>-2.8364646938423075E-17</v>
      </c>
      <c r="CD155">
        <v>0</v>
      </c>
      <c r="CE155" s="1">
        <v>-89.244219483729111</v>
      </c>
      <c r="CG155" s="1"/>
      <c r="CH155" s="1"/>
      <c r="CI155" s="1"/>
      <c r="CK155">
        <v>-0.30889743751630067</v>
      </c>
      <c r="CL155">
        <v>0.44825003081920128</v>
      </c>
      <c r="CM155">
        <v>0.13997800153925552</v>
      </c>
      <c r="CN155">
        <v>-5.5921097537953553E-2</v>
      </c>
      <c r="CP155">
        <v>-0.14679055165704985</v>
      </c>
      <c r="CQ155">
        <v>0.97852709663136683</v>
      </c>
      <c r="CR155">
        <v>0.14469711504521018</v>
      </c>
      <c r="CS155">
        <v>0</v>
      </c>
      <c r="CU155" s="5">
        <v>0.24772987718020878</v>
      </c>
      <c r="CV155" s="5">
        <v>0.50229419161215128</v>
      </c>
      <c r="CW155" s="5">
        <v>-4.7644632157775937E-2</v>
      </c>
      <c r="CX155" s="5">
        <v>-5.5921097537953553E-2</v>
      </c>
    </row>
    <row r="156" spans="1:111">
      <c r="A156">
        <v>42</v>
      </c>
      <c r="B156">
        <f t="shared" si="88"/>
        <v>0.6</v>
      </c>
      <c r="C156">
        <v>10</v>
      </c>
      <c r="D156">
        <f>tetto!D156*coord!$B$13-tetto!G156*coord!$B$14</f>
        <v>22618902.23870331</v>
      </c>
      <c r="E156" s="5">
        <f>90-DEGREES(ACOS((coord!$B$2*($T156*1000-coord!$B$2)+coord!$C$2*($U156*1000-coord!$C$2)+coord!$D$2*($V156*1000-coord!$D$2))/(SQRT(coord!$B$2^2+coord!$C$2^2+coord!$D$2^2)*SQRT(($T156*1000-coord!$B$2)^2+($U156*1000-coord!$C$2)^2+($V156*1000-coord!$D$2)^2))))</f>
        <v>29.633829110881784</v>
      </c>
      <c r="F156">
        <f>(coord!$C$2*($V156*1000-coord!$D$2)-coord!$D$2*($U156*1000-coord!$C$2))/(SQRT(coord!$B$2^2+coord!$C$2^2+coord!$D$2^2)*SQRT(($T156*1000-coord!$B$2)^2+($U156*1000-coord!$C$2)^2+($V156*1000-coord!$D$2)^2))</f>
        <v>0.60940203001474658</v>
      </c>
      <c r="G156">
        <f>(-coord!$B$2*($V156*1000-coord!$D$2)+coord!$D$2*($T156*1000-coord!$B$2))/(SQRT(coord!$B$2^2+coord!$C$2^2+coord!$D$2^2)*SQRT(($T156*1000-coord!$B$2)^2+($U156*1000-coord!$C$2)^2+($V156*1000-coord!$D$2)^2))</f>
        <v>-0.33086149025501294</v>
      </c>
      <c r="H156">
        <f>(coord!$B$2*($U156*1000-coord!$C$2)-coord!$C$2*($T156*1000-coord!$B$2))/(SQRT(coord!$B$2^2+coord!$C$2^2+coord!$D$2^2)*SQRT(($T156*1000-coord!$B$2)^2+($U156*1000-coord!$C$2)^2+($V156*1000-coord!$D$2)^2))</f>
        <v>-0.52409344489571807</v>
      </c>
      <c r="I156">
        <f t="shared" si="89"/>
        <v>-0.74402368050891043</v>
      </c>
      <c r="J156">
        <f t="shared" si="90"/>
        <v>-0.4493735916949545</v>
      </c>
      <c r="K156">
        <f t="shared" si="91"/>
        <v>-2.4973649462046166E-3</v>
      </c>
      <c r="L156">
        <f t="shared" si="92"/>
        <v>-58.868966736812069</v>
      </c>
      <c r="M156" s="5">
        <f>'sv10'!$AA$3+'sv10'!$Z$3*($B156)+'sv10'!$Y$3*($B156)^2+'sv10'!$X$3*($B156)^3+'sv10'!$W$3*($B156)^4+'sv10'!$V$3*($B156)^5+'sv10'!$U$3*($B156)^6+'sv10'!$T$3*($B156)^7+'sv10'!$S$3*($B156)^8</f>
        <v>8504.9172284307424</v>
      </c>
      <c r="N156" s="5">
        <f>'sv10'!$AA$4+'sv10'!$Z$4*($B156)+'sv10'!$Y$4*($B156)^2+'sv10'!$X$4*($B156)^3+'sv10'!$W$4*($B156)^4+'sv10'!$V$4*($B156)^5+'sv10'!$U$4*($B156)^6+'sv10'!$T$4*($B156)^7+'sv10'!$S$4*($B156)^8</f>
        <v>-15396.823040951675</v>
      </c>
      <c r="O156" s="5">
        <f>'sv10'!$AA$5+'sv10'!$Z$5*($B156)+'sv10'!$Y$5*($B156)^2+'sv10'!$X$5*($B156)^3+'sv10'!$W$5*($B156)^4+'sv10'!$V$5*($B156)^5+'sv10'!$U$5*($B156)^6+'sv10'!$T$5*($B156)^7+'sv10'!$S$5*($B156)^8</f>
        <v>19609.384100866006</v>
      </c>
      <c r="P156" s="5">
        <f>'sv10'!$AA$6+'sv10'!$Z$6*$B156+'sv10'!$Y$6*$B156^2+'sv10'!$X$6*$B156^3+'sv10'!$W$6*$B156^4+'sv10'!$V$6*$B156^5+'sv10'!$U$6*$B156^6+'sv10'!$T$6*$B156^7+'sv10'!$S$6*$B156^8</f>
        <v>-43.001856823950234</v>
      </c>
      <c r="R156">
        <f>SQRT(($M156*1000-coord!$B$2)^2+($N156*1000-coord!$C$2)^2+($O156*1000-coord!$D$2)^2)/coord!$B$6</f>
        <v>7.5405525726311332E-2</v>
      </c>
      <c r="T156" s="5">
        <f>'sv10'!$AA$3+'sv10'!$Z$3*($B156-$R156/3600)+'sv10'!$Y$3*($B156-$R156/3600)^2+'sv10'!$X$3*($B156-$R156/3600)^3+'sv10'!$W$3*($B156-$R156/3600)^4+'sv10'!$V$3*($B156-$R156/3600)^5+'sv10'!$U$3*($B156-$R156/3600)^6+'sv10'!$T$3*($B156-$R156/3600)^7+'sv10'!$S$3*($B156-$R156/3600)^8+N156*coord!$B$7*R156</f>
        <v>8504.7463155850182</v>
      </c>
      <c r="U156" s="5">
        <f>'sv10'!$AA$4+'sv10'!$Z$4*($B156-$R156/3600)+'sv10'!$Y$4*($B156-$R156/3600)^2+'sv10'!$X$4*($B156-$R156/3600)^3+'sv10'!$W$4*($B156-$R156/3600)^4+'sv10'!$V$4*($B156-$R156/3600)^5+'sv10'!$U$4*($B156-$R156/3600)^6+'sv10'!$T$4*($B156-$R156/3600)^7+'sv10'!$S$4*($B156-$R156/3600)^8-M156*coord!$B$7*R156</f>
        <v>-15397.041475083162</v>
      </c>
      <c r="V156" s="5">
        <f>'sv10'!$AA$5+'sv10'!$Z$5*($B156-$R156/3600)+'sv10'!$Y$5*($B156-$R156/3600)^2+'sv10'!$X$5*($B156-$R156/3600)^3+'sv10'!$W$5*($B156-$R156/3600)^4+'sv10'!$V$5*($B156-$R156/3600)^5+'sv10'!$U$5*($B156-$R156/3600)^6+'sv10'!$T$5*($B156-$R156/3600)^7+'sv10'!$S$5*($B156-$R156/3600)^8</f>
        <v>19609.285056956011</v>
      </c>
      <c r="W156">
        <f>coord!$B$6*P156/10^6</f>
        <v>-12891.632355816115</v>
      </c>
      <c r="X156">
        <f>SQRT(($T156*1000+coord!$B$7*$R156*$U156*1000-coord!$B$2)^2+($U156*1000-coord!$B$7*$R156*$T156*1000-coord!$C$2)^2+($V156*1000-coord!$D$2)^2)</f>
        <v>22606086.731595438</v>
      </c>
      <c r="Y156" s="3">
        <f>$D156-(X156-$W156)-coord!$E$2</f>
        <v>-76.125247944146395</v>
      </c>
      <c r="Z156" s="3"/>
      <c r="AB156">
        <f>-(T156*1000-coord!$B$2)/$X156</f>
        <v>-0.18206902387189677</v>
      </c>
      <c r="AC156">
        <f>-(U156*1000-coord!$C$2)/$X156</f>
        <v>0.72200075502104621</v>
      </c>
      <c r="AD156">
        <f>-(V156*1000-coord!$D$2)/$X156</f>
        <v>-0.6675059227108896</v>
      </c>
      <c r="AE156">
        <v>1</v>
      </c>
      <c r="AG156">
        <v>-0.70838595374140234</v>
      </c>
      <c r="AH156">
        <v>-0.77117608570140739</v>
      </c>
      <c r="AI156">
        <v>-0.6675059227108896</v>
      </c>
      <c r="AJ156">
        <v>-0.36171854703221507</v>
      </c>
      <c r="AK156">
        <v>3.0004141587276777E-2</v>
      </c>
      <c r="AL156">
        <v>-0.85726396594514287</v>
      </c>
      <c r="AM156">
        <v>-6.5316499525083657E-2</v>
      </c>
      <c r="AO156">
        <v>1.1233139174832358</v>
      </c>
      <c r="AP156">
        <v>-0.40376007279915294</v>
      </c>
      <c r="AQ156">
        <v>2.4129956796676679</v>
      </c>
      <c r="AR156">
        <v>-3.4013628330688643</v>
      </c>
      <c r="AT156">
        <v>1.6909604424536211</v>
      </c>
      <c r="AU156">
        <v>0.49923580239534593</v>
      </c>
      <c r="AV156">
        <v>2.6521423498089978</v>
      </c>
      <c r="AW156">
        <v>2.086668284239392</v>
      </c>
      <c r="AY156">
        <v>93.539201549674331</v>
      </c>
      <c r="BA156">
        <v>36.943520666802272</v>
      </c>
      <c r="BD156">
        <f>SQRT(($T156*1000+coord!$B$7*$R156*$U156*1000-coord!$B$2-BA$154)^2+($U156*1000-coord!$B$7*$R156*$T156*1000-coord!$C$2-BA$155)^2+($V156*1000-coord!$D$2-BA$156)^2)</f>
        <v>22605996.042946685</v>
      </c>
      <c r="BE156" s="3">
        <f t="shared" si="93"/>
        <v>3.1953438203171629</v>
      </c>
      <c r="BG156" s="1"/>
      <c r="BH156" s="1"/>
      <c r="BI156" s="1"/>
      <c r="BV156">
        <f>COS(RADIANS(BK154))</f>
        <v>0.70201030322233438</v>
      </c>
      <c r="BW156">
        <v>0</v>
      </c>
      <c r="BX156">
        <f>SIN(RADIANS(BK154))</f>
        <v>0.71216678816811319</v>
      </c>
      <c r="BZ156" t="s">
        <v>95</v>
      </c>
      <c r="CA156">
        <v>0.68693610381745629</v>
      </c>
      <c r="CB156">
        <v>0.14469711504521018</v>
      </c>
      <c r="CC156">
        <v>0.71216678816811319</v>
      </c>
      <c r="CD156">
        <v>0</v>
      </c>
      <c r="CE156" s="1">
        <v>17.423193560146089</v>
      </c>
      <c r="CG156" s="1"/>
      <c r="CH156" s="1"/>
      <c r="CI156" s="1"/>
      <c r="CK156">
        <v>3.0405553936933494</v>
      </c>
      <c r="CL156">
        <v>0.59177639474108834</v>
      </c>
      <c r="CM156">
        <v>3.1225874574105266</v>
      </c>
      <c r="CN156">
        <v>2.9397586370752435</v>
      </c>
      <c r="CP156">
        <v>0.70201030322233438</v>
      </c>
      <c r="CQ156">
        <v>-2.8364646938423075E-17</v>
      </c>
      <c r="CR156">
        <v>0.71216678816811319</v>
      </c>
      <c r="CS156">
        <v>0</v>
      </c>
      <c r="CU156" s="5">
        <v>-1.3664133940770373E-2</v>
      </c>
      <c r="CV156" s="5">
        <v>-4.7644632157775681E-2</v>
      </c>
      <c r="CW156" s="5">
        <v>4.3980986929738419</v>
      </c>
      <c r="CX156" s="5">
        <v>2.9397586370752435</v>
      </c>
    </row>
    <row r="157" spans="1:111">
      <c r="A157">
        <v>42</v>
      </c>
      <c r="B157">
        <f t="shared" si="88"/>
        <v>0.6</v>
      </c>
      <c r="C157">
        <v>4</v>
      </c>
      <c r="D157">
        <f>tetto!D157*coord!$B$13-tetto!G157*coord!$B$14</f>
        <v>21269335.462279085</v>
      </c>
      <c r="E157" s="5">
        <f>90-DEGREES(ACOS((coord!$B$2*($T157*1000-coord!$B$2)+coord!$C$2*($U157*1000-coord!$C$2)+coord!$D$2*($V157*1000-coord!$D$2))/(SQRT(coord!$B$2^2+coord!$C$2^2+coord!$D$2^2)*SQRT(($T157*1000-coord!$B$2)^2+($U157*1000-coord!$C$2)^2+($V157*1000-coord!$D$2)^2))))</f>
        <v>52.742254903111238</v>
      </c>
      <c r="F157">
        <f>(coord!$C$2*($V157*1000-coord!$D$2)-coord!$D$2*($U157*1000-coord!$C$2))/(SQRT(coord!$B$2^2+coord!$C$2^2+coord!$D$2^2)*SQRT(($T157*1000-coord!$B$2)^2+($U157*1000-coord!$C$2)^2+($V157*1000-coord!$D$2)^2))</f>
        <v>0.31019447082119544</v>
      </c>
      <c r="G157">
        <f>(-coord!$B$2*($V157*1000-coord!$D$2)+coord!$D$2*($T157*1000-coord!$B$2))/(SQRT(coord!$B$2^2+coord!$C$2^2+coord!$D$2^2)*SQRT(($T157*1000-coord!$B$2)^2+($U157*1000-coord!$C$2)^2+($V157*1000-coord!$D$2)^2))</f>
        <v>0.3601878715909072</v>
      </c>
      <c r="H157">
        <f>(coord!$B$2*($U157*1000-coord!$C$2)-coord!$C$2*($T157*1000-coord!$B$2))/(SQRT(coord!$B$2^2+coord!$C$2^2+coord!$D$2^2)*SQRT(($T157*1000-coord!$B$2)^2+($U157*1000-coord!$C$2)^2+($V157*1000-coord!$D$2)^2))</f>
        <v>-0.374906875600587</v>
      </c>
      <c r="I157">
        <f t="shared" si="89"/>
        <v>-0.53223032430290262</v>
      </c>
      <c r="J157">
        <f t="shared" si="90"/>
        <v>0.28851128311094298</v>
      </c>
      <c r="K157">
        <f t="shared" si="91"/>
        <v>-1.788673231137794E-3</v>
      </c>
      <c r="L157">
        <f t="shared" si="92"/>
        <v>241.5387754128584</v>
      </c>
      <c r="M157" s="5">
        <f>'sv04'!$AA$3+'sv04'!$Z$3*($B157)+'sv04'!$Y$3*($B157)^2+'sv04'!$X$3*($B157)^3+'sv04'!$W$3*($B157)^4+'sv04'!$V$3*($B157)^5+'sv04'!$U$3*($B157)^6+'sv04'!$T$3*($B157)^7+'sv04'!$S$3*($B157)^8</f>
        <v>22675.45177325443</v>
      </c>
      <c r="N157" s="5">
        <f>'sv04'!$AA$4+'sv04'!$Z$4*($B157)+'sv04'!$Y$4*($B157)^2+'sv04'!$X$4*($B157)^3+'sv04'!$W$4*($B157)^4+'sv04'!$V$4*($B157)^5+'sv04'!$U$4*($B157)^6+'sv04'!$T$4*($B157)^7+'sv04'!$S$4*($B157)^8</f>
        <v>-6805.8939885846121</v>
      </c>
      <c r="O157" s="5">
        <f>'sv04'!$AA$5+'sv04'!$Z$5*($B157)+'sv04'!$Y$5*($B157)^2+'sv04'!$X$5*($B157)^3+'sv04'!$W$5*($B157)^4+'sv04'!$V$5*($B157)^5+'sv04'!$U$5*($B157)^6+'sv04'!$T$5*($B157)^7+'sv04'!$S$5*($B157)^8</f>
        <v>12222.324963240577</v>
      </c>
      <c r="P157" s="5">
        <f>'sv04'!$AA$6+'sv04'!$Z$6*$B157+'sv04'!$Y$6*$B157^2+'sv04'!$X$6*$B157^3+'sv04'!$W$6*$B157^4+'sv04'!$V$6*$B157^5+'sv04'!$U$6*$B157^6+'sv04'!$T$6*$B157^7+'sv04'!$S$6*$B157^8</f>
        <v>86.605209637135445</v>
      </c>
      <c r="R157">
        <f>SQRT(($M157*1000-coord!$B$2)^2+($N157*1000-coord!$C$2)^2+($O157*1000-coord!$D$2)^2)/coord!$B$6</f>
        <v>7.1033568849111869E-2</v>
      </c>
      <c r="T157" s="5">
        <f>'sv04'!$AA$3+'sv04'!$Z$3*($B157-$R157/3600)+'sv04'!$Y$3*($B157-$R157/3600)^2+'sv04'!$X$3*($B157-$R157/3600)^3+'sv04'!$W$3*($B157-$R157/3600)^4+'sv04'!$V$3*($B157-$R157/3600)^5+'sv04'!$U$3*($B157-$R157/3600)^6+'sv04'!$T$3*($B157-$R157/3600)^7+'sv04'!$S$3*($B157-$R157/3600)^8+N157*coord!$B$7*R157</f>
        <v>22675.307309359672</v>
      </c>
      <c r="U157" s="5">
        <f>'sv04'!$AA$4+'sv04'!$Z$4*($B157-$R157/3600)+'sv04'!$Y$4*($B157-$R157/3600)^2+'sv04'!$X$4*($B157-$R157/3600)^3+'sv04'!$W$4*($B157-$R157/3600)^4+'sv04'!$V$4*($B157-$R157/3600)^5+'sv04'!$U$4*($B157-$R157/3600)^6+'sv04'!$T$4*($B157-$R157/3600)^7+'sv04'!$S$4*($B157-$R157/3600)^8-M157*coord!$B$7*R157</f>
        <v>-6806.0409396033356</v>
      </c>
      <c r="V157" s="5">
        <f>'sv04'!$AA$5+'sv04'!$Z$5*($B157-$R157/3600)+'sv04'!$Y$5*($B157-$R157/3600)^2+'sv04'!$X$5*($B157-$R157/3600)^3+'sv04'!$W$5*($B157-$R157/3600)^4+'sv04'!$V$5*($B157-$R157/3600)^5+'sv04'!$U$5*($B157-$R157/3600)^6+'sv04'!$T$5*($B157-$R157/3600)^7+'sv04'!$S$5*($B157-$R157/3600)^8</f>
        <v>12222.506040194186</v>
      </c>
      <c r="W157">
        <f>coord!$B$6*P157/10^6</f>
        <v>25963.588672722122</v>
      </c>
      <c r="X157">
        <f>SQRT(($T157*1000+coord!$B$7*$R157*$U157*1000-coord!$B$2)^2+($U157*1000-coord!$B$7*$R157*$T157*1000-coord!$C$2)^2+($V157*1000-coord!$D$2)^2)</f>
        <v>21295335.362519182</v>
      </c>
      <c r="Y157" s="3">
        <f>$D157-(X157-$W157)-coord!$E$2</f>
        <v>-36.31156737357378</v>
      </c>
      <c r="Z157" s="3"/>
      <c r="AB157">
        <f>-(T157*1000-coord!$B$2)/$X157</f>
        <v>-0.85870585399395361</v>
      </c>
      <c r="AC157">
        <f>-(U157*1000-coord!$C$2)/$X157</f>
        <v>0.36301899083541006</v>
      </c>
      <c r="AD157">
        <f>-(V157*1000-coord!$D$2)/$X157</f>
        <v>-0.36171854703221507</v>
      </c>
      <c r="AE157">
        <v>1</v>
      </c>
      <c r="AG157">
        <v>1</v>
      </c>
      <c r="AH157">
        <v>1</v>
      </c>
      <c r="AI157">
        <v>1</v>
      </c>
      <c r="AJ157">
        <v>1</v>
      </c>
      <c r="AK157">
        <v>1</v>
      </c>
      <c r="AL157">
        <v>1</v>
      </c>
      <c r="AM157">
        <v>1</v>
      </c>
      <c r="AO157">
        <v>-3.2196784106033585</v>
      </c>
      <c r="AP157">
        <v>-0.2832944724650715</v>
      </c>
      <c r="AQ157">
        <v>-3.4013628330688643</v>
      </c>
      <c r="AR157">
        <v>7</v>
      </c>
      <c r="AT157">
        <v>2.037832183600548</v>
      </c>
      <c r="AU157">
        <v>0.37210338756930594</v>
      </c>
      <c r="AV157">
        <v>2.0866682842393915</v>
      </c>
      <c r="AW157">
        <v>2.1091564379729628</v>
      </c>
      <c r="AY157">
        <v>-39.946010246872902</v>
      </c>
      <c r="BA157">
        <v>11.368056988404618</v>
      </c>
      <c r="BD157">
        <f>SQRT(($T157*1000+coord!$B$7*$R157*$U157*1000-coord!$B$2-BA$154)^2+($U157*1000-coord!$B$7*$R157*$T157*1000-coord!$C$2-BA$155)^2+($V157*1000-coord!$D$2-BA$156)^2)</f>
        <v>21295284.191321425</v>
      </c>
      <c r="BE157" s="3">
        <f t="shared" si="93"/>
        <v>3.4915733951465029</v>
      </c>
      <c r="BG157" s="1"/>
      <c r="BH157" s="1"/>
      <c r="BI157" s="1"/>
      <c r="CA157">
        <v>0</v>
      </c>
      <c r="CB157">
        <v>0</v>
      </c>
      <c r="CC157">
        <v>0</v>
      </c>
      <c r="CD157">
        <v>1</v>
      </c>
      <c r="CG157" s="1"/>
      <c r="CH157" s="1"/>
      <c r="CI157" s="1"/>
      <c r="CK157">
        <v>2.037832183600548</v>
      </c>
      <c r="CL157">
        <v>0.37210338756930594</v>
      </c>
      <c r="CM157">
        <v>2.0866682842393915</v>
      </c>
      <c r="CN157">
        <v>2.1091564379729628</v>
      </c>
      <c r="CP157">
        <v>0</v>
      </c>
      <c r="CQ157">
        <v>0</v>
      </c>
      <c r="CR157">
        <v>0</v>
      </c>
      <c r="CS157">
        <v>1</v>
      </c>
      <c r="CU157" s="5">
        <v>-9.871909691557601E-3</v>
      </c>
      <c r="CV157" s="5">
        <v>-5.5921097537953497E-2</v>
      </c>
      <c r="CW157" s="5">
        <v>2.9397586370752431</v>
      </c>
      <c r="CX157" s="5">
        <v>2.1091564379729628</v>
      </c>
    </row>
    <row r="158" spans="1:111">
      <c r="A158">
        <v>42</v>
      </c>
      <c r="B158">
        <f t="shared" si="88"/>
        <v>0.6</v>
      </c>
      <c r="C158">
        <v>20</v>
      </c>
      <c r="D158">
        <f>tetto!D158*coord!$B$13-tetto!G158*coord!$B$14</f>
        <v>23363525.827492058</v>
      </c>
      <c r="E158" s="5">
        <f>90-DEGREES(ACOS((coord!$B$2*($T158*1000-coord!$B$2)+coord!$C$2*($U158*1000-coord!$C$2)+coord!$D$2*($V158*1000-coord!$D$2))/(SQRT(coord!$B$2^2+coord!$C$2^2+coord!$D$2^2)*SQRT(($T158*1000-coord!$B$2)^2+($U158*1000-coord!$C$2)^2+($V158*1000-coord!$D$2)^2))))</f>
        <v>23.481961790087581</v>
      </c>
      <c r="F158">
        <f>(coord!$C$2*($V158*1000-coord!$D$2)-coord!$D$2*($U158*1000-coord!$C$2))/(SQRT(coord!$B$2^2+coord!$C$2^2+coord!$D$2^2)*SQRT(($T158*1000-coord!$B$2)^2+($U158*1000-coord!$C$2)^2+($V158*1000-coord!$D$2)^2))</f>
        <v>-0.64892525053027961</v>
      </c>
      <c r="G158">
        <f>(-coord!$B$2*($V158*1000-coord!$D$2)+coord!$D$2*($T158*1000-coord!$B$2))/(SQRT(coord!$B$2^2+coord!$C$2^2+coord!$D$2^2)*SQRT(($T158*1000-coord!$B$2)^2+($U158*1000-coord!$C$2)^2+($V158*1000-coord!$D$2)^2))</f>
        <v>0.31715344898022962</v>
      </c>
      <c r="H158">
        <f>(coord!$B$2*($U158*1000-coord!$C$2)-coord!$C$2*($T158*1000-coord!$B$2))/(SQRT(coord!$B$2^2+coord!$C$2^2+coord!$D$2^2)*SQRT(($T158*1000-coord!$B$2)^2+($U158*1000-coord!$C$2)^2+($V158*1000-coord!$D$2)^2))</f>
        <v>0.56527787035826715</v>
      </c>
      <c r="I158">
        <f t="shared" si="89"/>
        <v>0.80249056331616264</v>
      </c>
      <c r="J158">
        <f t="shared" si="90"/>
        <v>0.44410697037945474</v>
      </c>
      <c r="K158">
        <f t="shared" si="91"/>
        <v>2.6937597349181441E-3</v>
      </c>
      <c r="L158">
        <f t="shared" si="92"/>
        <v>118.96061698689333</v>
      </c>
      <c r="M158" s="5">
        <f>'sv20'!$AA$3+'sv20'!$Z$3*($B158)+'sv20'!$Y$3*($B158)^2+'sv20'!$X$3*($B158)^3+'sv20'!$W$3*($B158)^4+'sv20'!$V$3*($B158)^5+'sv20'!$U$3*($B158)^6+'sv20'!$T$3*($B158)^7+'sv20'!$S$3*($B158)^8</f>
        <v>14154.265684244461</v>
      </c>
      <c r="N158" s="5">
        <f>'sv20'!$AA$4+'sv20'!$Z$4*($B158)+'sv20'!$Y$4*($B158)^2+'sv20'!$X$4*($B158)^3+'sv20'!$W$4*($B158)^4+'sv20'!$V$4*($B158)^5+'sv20'!$U$4*($B158)^6+'sv20'!$T$4*($B158)^7+'sv20'!$S$4*($B158)^8</f>
        <v>22156.174796924355</v>
      </c>
      <c r="O158" s="5">
        <f>'sv20'!$AA$5+'sv20'!$Z$5*($B158)+'sv20'!$Y$5*($B158)^2+'sv20'!$X$5*($B158)^3+'sv20'!$W$5*($B158)^4+'sv20'!$V$5*($B158)^5+'sv20'!$U$5*($B158)^6+'sv20'!$T$5*($B158)^7+'sv20'!$S$5*($B158)^8</f>
        <v>3817.8470637941487</v>
      </c>
      <c r="P158" s="5">
        <f>'sv20'!$AA$6+'sv20'!$Z$6*$B158+'sv20'!$Y$6*$B158^2+'sv20'!$X$6*$B158^3+'sv20'!$W$6*$B158^4+'sv20'!$V$6*$B158^5+'sv20'!$U$6*$B158^6+'sv20'!$T$6*$B158^7+'sv20'!$S$6*$B158^8</f>
        <v>55.817621304684792</v>
      </c>
      <c r="R158">
        <f>SQRT(($M158*1000-coord!$B$2)^2+($N158*1000-coord!$C$2)^2+($O158*1000-coord!$D$2)^2)/coord!$B$6</f>
        <v>7.798813200458575E-2</v>
      </c>
      <c r="T158" s="5">
        <f>'sv20'!$AA$3+'sv20'!$Z$3*($B158-$R158/3600)+'sv20'!$Y$3*($B158-$R158/3600)^2+'sv20'!$X$3*($B158-$R158/3600)^3+'sv20'!$W$3*($B158-$R158/3600)^4+'sv20'!$V$3*($B158-$R158/3600)^5+'sv20'!$U$3*($B158-$R158/3600)^6+'sv20'!$T$3*($B158-$R158/3600)^7+'sv20'!$S$3*($B158-$R158/3600)^8+N158*coord!$B$7*R158</f>
        <v>14154.398461588966</v>
      </c>
      <c r="U158" s="5">
        <f>'sv20'!$AA$4+'sv20'!$Z$4*($B158-$R158/3600)+'sv20'!$Y$4*($B158-$R158/3600)^2+'sv20'!$X$4*($B158-$R158/3600)^3+'sv20'!$W$4*($B158-$R158/3600)^4+'sv20'!$V$4*($B158-$R158/3600)^5+'sv20'!$U$4*($B158-$R158/3600)^6+'sv20'!$T$4*($B158-$R158/3600)^7+'sv20'!$S$4*($B158-$R158/3600)^8-M158*coord!$B$7*R158</f>
        <v>22156.047176885862</v>
      </c>
      <c r="V158" s="5">
        <f>'sv20'!$AA$5+'sv20'!$Z$5*($B158-$R158/3600)+'sv20'!$Y$5*($B158-$R158/3600)^2+'sv20'!$X$5*($B158-$R158/3600)^3+'sv20'!$W$5*($B158-$R158/3600)^4+'sv20'!$V$5*($B158-$R158/3600)^5+'sv20'!$U$5*($B158-$R158/3600)^6+'sv20'!$T$5*($B158-$R158/3600)^7+'sv20'!$S$5*($B158-$R158/3600)^8</f>
        <v>3818.0864722443462</v>
      </c>
      <c r="W158">
        <f>coord!$B$6*P158/10^6</f>
        <v>16733.701890644621</v>
      </c>
      <c r="X158">
        <f>SQRT(($T158*1000+coord!$B$7*$R158*$U158*1000-coord!$B$2)^2+($U158*1000-coord!$B$7*$R158*$T158*1000-coord!$C$2)^2+($V158*1000-coord!$D$2)^2)</f>
        <v>23380165.701961782</v>
      </c>
      <c r="Y158" s="3">
        <f>$D158-(X158-$W158)-coord!$E$2</f>
        <v>93.827420920133591</v>
      </c>
      <c r="Z158" s="3"/>
      <c r="AB158">
        <f>-(T158*1000-coord!$B$2)/$X158</f>
        <v>-0.41768396406059521</v>
      </c>
      <c r="AC158">
        <f>-(U158*1000-coord!$C$2)/$X158</f>
        <v>-0.9080977968391547</v>
      </c>
      <c r="AD158">
        <f>-(V158*1000-coord!$D$2)/$X158</f>
        <v>3.0004141587276777E-2</v>
      </c>
      <c r="AE158">
        <v>1</v>
      </c>
      <c r="BD158">
        <f>SQRT(($T158*1000+coord!$B$7*$R158*$U158*1000-coord!$B$2-BA$154)^2+($U158*1000-coord!$B$7*$R158*$T158*1000-coord!$C$2-BA$155)^2+($V158*1000-coord!$D$2-BA$156)^2)</f>
        <v>23380245.972551681</v>
      </c>
      <c r="BE158" s="3">
        <f t="shared" si="93"/>
        <v>2.1887740324572462</v>
      </c>
      <c r="BG158" s="1"/>
      <c r="BH158" s="1"/>
      <c r="BI158" s="1"/>
      <c r="CG158" s="1"/>
      <c r="CH158" s="1"/>
      <c r="CI158" s="1"/>
    </row>
    <row r="159" spans="1:111">
      <c r="A159">
        <v>42</v>
      </c>
      <c r="B159">
        <f t="shared" si="88"/>
        <v>0.6</v>
      </c>
      <c r="C159">
        <v>13</v>
      </c>
      <c r="D159">
        <f>tetto!D159*coord!$B$13-tetto!G159*coord!$B$14</f>
        <v>20217866.230023615</v>
      </c>
      <c r="E159" s="5">
        <f>90-DEGREES(ACOS((coord!$B$2*($T159*1000-coord!$B$2)+coord!$C$2*($U159*1000-coord!$C$2)+coord!$D$2*($V159*1000-coord!$D$2))/(SQRT(coord!$B$2^2+coord!$C$2^2+coord!$D$2^2)*SQRT(($T159*1000-coord!$B$2)^2+($U159*1000-coord!$C$2)^2+($V159*1000-coord!$D$2)^2))))</f>
        <v>72.316904492321811</v>
      </c>
      <c r="F159">
        <f>(coord!$C$2*($V159*1000-coord!$D$2)-coord!$D$2*($U159*1000-coord!$C$2))/(SQRT(coord!$B$2^2+coord!$C$2^2+coord!$D$2^2)*SQRT(($T159*1000-coord!$B$2)^2+($U159*1000-coord!$C$2)^2+($V159*1000-coord!$D$2)^2))</f>
        <v>-5.9540003507487609E-2</v>
      </c>
      <c r="G159">
        <f>(-coord!$B$2*($V159*1000-coord!$D$2)+coord!$D$2*($T159*1000-coord!$B$2))/(SQRT(coord!$B$2^2+coord!$C$2^2+coord!$D$2^2)*SQRT(($T159*1000-coord!$B$2)^2+($U159*1000-coord!$C$2)^2+($V159*1000-coord!$D$2)^2))</f>
        <v>-0.27513775715964006</v>
      </c>
      <c r="H159">
        <f>(coord!$B$2*($U159*1000-coord!$C$2)-coord!$C$2*($T159*1000-coord!$B$2))/(SQRT(coord!$B$2^2+coord!$C$2^2+coord!$D$2^2)*SQRT(($T159*1000-coord!$B$2)^2+($U159*1000-coord!$C$2)^2+($V159*1000-coord!$D$2)^2))</f>
        <v>0.11410287070003033</v>
      </c>
      <c r="I159">
        <f t="shared" si="89"/>
        <v>0.16198362814410333</v>
      </c>
      <c r="J159">
        <f t="shared" si="90"/>
        <v>-0.25695577388153928</v>
      </c>
      <c r="K159">
        <f t="shared" si="91"/>
        <v>5.4499239320007775E-4</v>
      </c>
      <c r="L159">
        <f t="shared" si="92"/>
        <v>32.227125201057682</v>
      </c>
      <c r="M159" s="5">
        <f>'sv13'!$AA$3+'sv13'!$Z$3*($B159)+'sv13'!$Y$3*($B159)^2+'sv13'!$X$3*($B159)^3+'sv13'!$W$3*($B159)^4+'sv13'!$V$3*($B159)^5+'sv13'!$U$3*($B159)^6+'sv13'!$T$3*($B159)^7+'sv13'!$S$3*($B159)^8</f>
        <v>13423.110070731747</v>
      </c>
      <c r="N159" s="5">
        <f>'sv13'!$AA$4+'sv13'!$Z$4*($B159)+'sv13'!$Y$4*($B159)^2+'sv13'!$X$4*($B159)^3+'sv13'!$W$4*($B159)^4+'sv13'!$V$4*($B159)^5+'sv13'!$U$4*($B159)^6+'sv13'!$T$4*($B159)^7+'sv13'!$S$4*($B159)^8</f>
        <v>6189.9662852537067</v>
      </c>
      <c r="O159" s="5">
        <f>'sv13'!$AA$5+'sv13'!$Z$5*($B159)+'sv13'!$Y$5*($B159)^2+'sv13'!$X$5*($B159)^3+'sv13'!$W$5*($B159)^4+'sv13'!$V$5*($B159)^5+'sv13'!$U$5*($B159)^6+'sv13'!$T$5*($B159)^7+'sv13'!$S$5*($B159)^8</f>
        <v>21929.849894512216</v>
      </c>
      <c r="P159" s="5">
        <f>'sv13'!$AA$6+'sv13'!$Z$6*$B159+'sv13'!$Y$6*$B159^2+'sv13'!$X$6*$B159^3+'sv13'!$W$6*$B159^4+'sv13'!$V$6*$B159^5+'sv13'!$U$6*$B159^6+'sv13'!$T$6*$B159^7+'sv13'!$S$6*$B159^8</f>
        <v>304.21922724866272</v>
      </c>
      <c r="R159">
        <f>SQRT(($M159*1000-coord!$B$2)^2+($N159*1000-coord!$C$2)^2+($O159*1000-coord!$D$2)^2)/coord!$B$6</f>
        <v>6.7743817098540202E-2</v>
      </c>
      <c r="T159" s="5">
        <f>'sv13'!$AA$3+'sv13'!$Z$3*($B159-$R159/3600)+'sv13'!$Y$3*($B159-$R159/3600)^2+'sv13'!$X$3*($B159-$R159/3600)^3+'sv13'!$W$3*($B159-$R159/3600)^4+'sv13'!$V$3*($B159-$R159/3600)^5+'sv13'!$U$3*($B159-$R159/3600)^6+'sv13'!$T$3*($B159-$R159/3600)^7+'sv13'!$S$3*($B159-$R159/3600)^8+N159*coord!$B$7*R159</f>
        <v>13423.259884192939</v>
      </c>
      <c r="U159" s="5">
        <f>'sv13'!$AA$4+'sv13'!$Z$4*($B159-$R159/3600)+'sv13'!$Y$4*($B159-$R159/3600)^2+'sv13'!$X$4*($B159-$R159/3600)^3+'sv13'!$W$4*($B159-$R159/3600)^4+'sv13'!$V$4*($B159-$R159/3600)^5+'sv13'!$U$4*($B159-$R159/3600)^6+'sv13'!$T$4*($B159-$R159/3600)^7+'sv13'!$S$4*($B159-$R159/3600)^8-M159*coord!$B$7*R159</f>
        <v>6189.7516341178452</v>
      </c>
      <c r="V159" s="5">
        <f>'sv13'!$AA$5+'sv13'!$Z$5*($B159-$R159/3600)+'sv13'!$Y$5*($B159-$R159/3600)^2+'sv13'!$X$5*($B159-$R159/3600)^3+'sv13'!$W$5*($B159-$R159/3600)^4+'sv13'!$V$5*($B159-$R159/3600)^5+'sv13'!$U$5*($B159-$R159/3600)^6+'sv13'!$T$5*($B159-$R159/3600)^7+'sv13'!$S$5*($B159-$R159/3600)^8</f>
        <v>21929.819181775423</v>
      </c>
      <c r="W159">
        <f>coord!$B$6*P159/10^6</f>
        <v>91202.629907737166</v>
      </c>
      <c r="X159">
        <f>SQRT(($T159*1000+coord!$B$7*$R159*$U159*1000-coord!$B$2)^2+($U159*1000-coord!$B$7*$R159*$T159*1000-coord!$C$2)^2+($V159*1000-coord!$D$2)^2)</f>
        <v>20309066.51754627</v>
      </c>
      <c r="Y159" s="3">
        <f>$D159-(X159-$W159)-coord!$E$2</f>
        <v>2.3423850834369659</v>
      </c>
      <c r="Z159" s="3"/>
      <c r="AB159">
        <f>-(T159*1000-coord!$B$2)/$X159</f>
        <v>-0.44484475471029516</v>
      </c>
      <c r="AC159">
        <f>-(U159*1000-coord!$C$2)/$X159</f>
        <v>-0.25925275375748691</v>
      </c>
      <c r="AD159">
        <f>-(V159*1000-coord!$D$2)/$X159</f>
        <v>-0.85726396594514287</v>
      </c>
      <c r="AE159">
        <v>1</v>
      </c>
      <c r="BD159">
        <f>SQRT(($T159*1000+coord!$B$7*$R159*$U159*1000-coord!$B$2-BA$154)^2+($U159*1000-coord!$B$7*$R159*$T159*1000-coord!$C$2-BA$155)^2+($V159*1000-coord!$D$2-BA$156)^2)</f>
        <v>20309055.491092969</v>
      </c>
      <c r="BE159" s="3">
        <f t="shared" si="93"/>
        <v>2.0007813963428873</v>
      </c>
      <c r="BG159" s="1"/>
      <c r="BH159" s="1"/>
      <c r="BI159" s="1"/>
      <c r="CG159" s="1"/>
      <c r="CH159" s="1"/>
      <c r="CI159" s="1"/>
    </row>
    <row r="160" spans="1:111">
      <c r="A160">
        <v>42</v>
      </c>
      <c r="B160">
        <f t="shared" si="88"/>
        <v>0.6</v>
      </c>
      <c r="C160">
        <v>7</v>
      </c>
      <c r="D160">
        <f>tetto!D160*coord!$B$13-tetto!G160*coord!$B$14</f>
        <v>21546404.448969092</v>
      </c>
      <c r="E160" s="5">
        <f>90-DEGREES(ACOS((coord!$B$2*($T160*1000-coord!$B$2)+coord!$C$2*($U160*1000-coord!$C$2)+coord!$D$2*($V160*1000-coord!$D$2))/(SQRT(coord!$B$2^2+coord!$C$2^2+coord!$D$2^2)*SQRT(($T160*1000-coord!$B$2)^2+($U160*1000-coord!$C$2)^2+($V160*1000-coord!$D$2)^2))))</f>
        <v>48.433865329955033</v>
      </c>
      <c r="F160">
        <f>(coord!$C$2*($V160*1000-coord!$D$2)-coord!$D$2*($U160*1000-coord!$C$2))/(SQRT(coord!$B$2^2+coord!$C$2^2+coord!$D$2^2)*SQRT(($T160*1000-coord!$B$2)^2+($U160*1000-coord!$C$2)^2+($V160*1000-coord!$D$2)^2))</f>
        <v>-0.17450795813656383</v>
      </c>
      <c r="G160">
        <f>(-coord!$B$2*($V160*1000-coord!$D$2)+coord!$D$2*($T160*1000-coord!$B$2))/(SQRT(coord!$B$2^2+coord!$C$2^2+coord!$D$2^2)*SQRT(($T160*1000-coord!$B$2)^2+($U160*1000-coord!$C$2)^2+($V160*1000-coord!$D$2)^2))</f>
        <v>0.63894949175900817</v>
      </c>
      <c r="H160">
        <f>(coord!$B$2*($U160*1000-coord!$C$2)-coord!$C$2*($T160*1000-coord!$B$2))/(SQRT(coord!$B$2^2+coord!$C$2^2+coord!$D$2^2)*SQRT(($T160*1000-coord!$B$2)^2+($U160*1000-coord!$C$2)^2+($V160*1000-coord!$D$2)^2))</f>
        <v>3.8751428149484159E-2</v>
      </c>
      <c r="I160">
        <f t="shared" si="89"/>
        <v>5.5015349424449744E-2</v>
      </c>
      <c r="J160">
        <f t="shared" si="90"/>
        <v>0.66119923753511944</v>
      </c>
      <c r="K160">
        <f t="shared" si="91"/>
        <v>1.8239077427695261E-4</v>
      </c>
      <c r="L160">
        <f t="shared" si="92"/>
        <v>175.24363766906117</v>
      </c>
      <c r="M160" s="5">
        <f>'sv07'!$AA$3+'sv07'!$Z$3*($B160)+'sv07'!$Y$3*($B160)^2+'sv07'!$X$3*($B160)^3+'sv07'!$W$3*($B160)^4+'sv07'!$V$3*($B160)^5+'sv07'!$U$3*($B160)^6+'sv07'!$T$3*($B160)^7+'sv07'!$S$3*($B160)^8</f>
        <v>25150.874830730179</v>
      </c>
      <c r="N160" s="5">
        <f>'sv07'!$AA$4+'sv07'!$Z$4*($B160)+'sv07'!$Y$4*($B160)^2+'sv07'!$X$4*($B160)^3+'sv07'!$W$4*($B160)^4+'sv07'!$V$4*($B160)^5+'sv07'!$U$4*($B160)^6+'sv07'!$T$4*($B160)^7+'sv07'!$S$4*($B160)^8</f>
        <v>6509.8390181054529</v>
      </c>
      <c r="O160" s="5">
        <f>'sv07'!$AA$5+'sv07'!$Z$5*($B160)+'sv07'!$Y$5*($B160)^2+'sv07'!$X$5*($B160)^3+'sv07'!$W$5*($B160)^4+'sv07'!$V$5*($B160)^5+'sv07'!$U$5*($B160)^6+'sv07'!$T$5*($B160)^7+'sv07'!$S$5*($B160)^8</f>
        <v>5927.1306940350241</v>
      </c>
      <c r="P160" s="5">
        <f>'sv07'!$AA$6+'sv07'!$Z$6*$B160+'sv07'!$Y$6*$B160^2+'sv07'!$X$6*$B160^3+'sv07'!$W$6*$B160^4+'sv07'!$V$6*$B160^5+'sv07'!$U$6*$B160^6+'sv07'!$T$6*$B160^7+'sv07'!$S$6*$B160^8</f>
        <v>-0.63803180233040102</v>
      </c>
      <c r="R160">
        <f>SQRT(($M160*1000-coord!$B$2)^2+($N160*1000-coord!$C$2)^2+($O160*1000-coord!$D$2)^2)/coord!$B$6</f>
        <v>7.1870245746661773E-2</v>
      </c>
      <c r="T160" s="5">
        <f>'sv07'!$AA$3+'sv07'!$Z$3*($B160-$R160/3600)+'sv07'!$Y$3*($B160-$R160/3600)^2+'sv07'!$X$3*($B160-$R160/3600)^3+'sv07'!$W$3*($B160-$R160/3600)^4+'sv07'!$V$3*($B160-$R160/3600)^5+'sv07'!$U$3*($B160-$R160/3600)^6+'sv07'!$T$3*($B160-$R160/3600)^7+'sv07'!$S$3*($B160-$R160/3600)^8+N160*coord!$B$7*R160</f>
        <v>25150.964140089825</v>
      </c>
      <c r="U160" s="5">
        <f>'sv07'!$AA$4+'sv07'!$Z$4*($B160-$R160/3600)+'sv07'!$Y$4*($B160-$R160/3600)^2+'sv07'!$X$4*($B160-$R160/3600)^3+'sv07'!$W$4*($B160-$R160/3600)^4+'sv07'!$V$4*($B160-$R160/3600)^5+'sv07'!$U$4*($B160-$R160/3600)^6+'sv07'!$T$4*($B160-$R160/3600)^7+'sv07'!$S$4*($B160-$R160/3600)^8-M160*coord!$B$7*R160</f>
        <v>6509.6963406507921</v>
      </c>
      <c r="V160" s="5">
        <f>'sv07'!$AA$5+'sv07'!$Z$5*($B160-$R160/3600)+'sv07'!$Y$5*($B160-$R160/3600)^2+'sv07'!$X$5*($B160-$R160/3600)^3+'sv07'!$W$5*($B160-$R160/3600)^4+'sv07'!$V$5*($B160-$R160/3600)^5+'sv07'!$U$5*($B160-$R160/3600)^6+'sv07'!$T$5*($B160-$R160/3600)^7+'sv07'!$S$5*($B160-$R160/3600)^8</f>
        <v>5926.9100483919092</v>
      </c>
      <c r="W160">
        <f>coord!$B$6*P160/10^6</f>
        <v>-191.27712230280105</v>
      </c>
      <c r="X160">
        <f>SQRT(($T160*1000+coord!$B$7*$R160*$U160*1000-coord!$B$2)^2+($U160*1000-coord!$B$7*$R160*$T160*1000-coord!$C$2)^2+($V160*1000-coord!$D$2)^2)</f>
        <v>21546190.998056352</v>
      </c>
      <c r="Y160" s="3">
        <f>$D160-(X160-$W160)-coord!$E$2</f>
        <v>22.17379043623805</v>
      </c>
      <c r="Z160" s="3" t="s">
        <v>127</v>
      </c>
      <c r="AA160" s="1" t="s">
        <v>128</v>
      </c>
      <c r="AB160">
        <f>-(T160*1000-coord!$B$2)/$X160</f>
        <v>-0.96360818351432698</v>
      </c>
      <c r="AC160">
        <f>-(U160*1000-coord!$C$2)/$X160</f>
        <v>-0.25921640293426423</v>
      </c>
      <c r="AD160">
        <f>-(V160*1000-coord!$D$2)/$X160</f>
        <v>-6.5316499525083657E-2</v>
      </c>
      <c r="AE160">
        <v>1</v>
      </c>
      <c r="BD160">
        <f>SQRT(($T160*1000+coord!$B$7*$R160*$U160*1000-coord!$B$2-BA$154)^2+($U160*1000-coord!$B$7*$R160*$T160*1000-coord!$C$2-BA$155)^2+($V160*1000-coord!$D$2-BA$156)^2)</f>
        <v>21546206.108825877</v>
      </c>
      <c r="BE160" s="3">
        <f t="shared" si="93"/>
        <v>-4.3050360773368936</v>
      </c>
      <c r="BF160" s="3" t="s">
        <v>127</v>
      </c>
      <c r="BG160" s="1" t="s">
        <v>128</v>
      </c>
      <c r="BH160" s="1"/>
      <c r="BI160" s="1"/>
      <c r="CG160" s="1"/>
      <c r="CH160" s="1"/>
      <c r="CI160" s="1"/>
    </row>
    <row r="161" spans="1:111">
      <c r="Y161" s="3"/>
      <c r="Z161" s="3">
        <f>AVERAGE($Y154:$Y160)</f>
        <v>-5.7065728924104144</v>
      </c>
      <c r="AA161" s="1">
        <f>SQRT(DEVSQ($Y154:$Y160)/6)</f>
        <v>63.43258748956886</v>
      </c>
      <c r="BE161" s="3"/>
      <c r="BF161" s="3">
        <f>AVERAGE($BE154:$BE160)</f>
        <v>1.8177148770957632E-4</v>
      </c>
      <c r="BG161" s="1">
        <f>SQRT(DEVSQ($BE154:$BE160)/6)</f>
        <v>3.560179444176681</v>
      </c>
      <c r="BH161" s="1"/>
      <c r="BI161" s="1"/>
      <c r="CG161" s="1"/>
      <c r="CH161" s="1"/>
      <c r="CI161" s="1"/>
    </row>
    <row r="162" spans="1:111">
      <c r="A162">
        <v>44</v>
      </c>
      <c r="B162">
        <f t="shared" ref="B162:B168" si="94">(60-45)/60+30*A162/3600</f>
        <v>0.6166666666666667</v>
      </c>
      <c r="C162">
        <v>2</v>
      </c>
      <c r="D162">
        <f>tetto!D162*coord!$B$13-tetto!G162*coord!$B$14</f>
        <v>22360841.026884928</v>
      </c>
      <c r="E162" s="5">
        <f>90-DEGREES(ACOS((coord!$B$2*($T162*1000-coord!$B$2)+coord!$C$2*($U162*1000-coord!$C$2)+coord!$D$2*($V162*1000-coord!$D$2))/(SQRT(coord!$B$2^2+coord!$C$2^2+coord!$D$2^2)*SQRT(($T162*1000-coord!$B$2)^2+($U162*1000-coord!$C$2)^2+($V162*1000-coord!$D$2)^2))))</f>
        <v>33.150659349439479</v>
      </c>
      <c r="F162">
        <f>(coord!$C$2*($V162*1000-coord!$D$2)-coord!$D$2*($U162*1000-coord!$C$2))/(SQRT(coord!$B$2^2+coord!$C$2^2+coord!$D$2^2)*SQRT(($T162*1000-coord!$B$2)^2+($U162*1000-coord!$C$2)^2+($V162*1000-coord!$D$2)^2))</f>
        <v>0.58266570782827287</v>
      </c>
      <c r="G162">
        <f>(-coord!$B$2*($V162*1000-coord!$D$2)+coord!$D$2*($T162*1000-coord!$B$2))/(SQRT(coord!$B$2^2+coord!$C$2^2+coord!$D$2^2)*SQRT(($T162*1000-coord!$B$2)^2+($U162*1000-coord!$C$2)^2+($V162*1000-coord!$D$2)^2))</f>
        <v>-0.33913697107324853</v>
      </c>
      <c r="H162">
        <f>(coord!$B$2*($U162*1000-coord!$C$2)-coord!$C$2*($T162*1000-coord!$B$2))/(SQRT(coord!$B$2^2+coord!$C$2^2+coord!$D$2^2)*SQRT(($T162*1000-coord!$B$2)^2+($U162*1000-coord!$C$2)^2+($V162*1000-coord!$D$2)^2))</f>
        <v>-0.49643744698393971</v>
      </c>
      <c r="I162">
        <f t="shared" ref="I162:I168" si="95">$F162*$CA$2+$G162*$CB$2+$H162*$CC$2</f>
        <v>-0.70476223364430113</v>
      </c>
      <c r="J162">
        <f t="shared" ref="J162:J168" si="96">$F162*$CA$3+$G162*$CB$3+$H162*$CC$3</f>
        <v>-0.45196011936862257</v>
      </c>
      <c r="K162">
        <f t="shared" ref="K162:K168" si="97">$F162*$CA$4+$G162*$CB$4+$H162*$CC$4</f>
        <v>-2.3654861419360462E-3</v>
      </c>
      <c r="L162">
        <f t="shared" ref="L162:L168" si="98">90+DEGREES(ATAN2(I162,J162))</f>
        <v>-57.328171955026761</v>
      </c>
      <c r="M162" s="5">
        <f>'sv02'!$AA$3+'sv02'!$Z$3*($B162)+'sv02'!$Y$3*($B162)^2+'sv02'!$X$3*($B162)^3+'sv02'!$W$3*($B162)^4+'sv02'!$V$3*($B162)^5+'sv02'!$U$3*($B162)^6+'sv02'!$T$3*($B162)^7+'sv02'!$S$3*($B162)^8</f>
        <v>9062.7539013218357</v>
      </c>
      <c r="N162" s="5">
        <f>'sv02'!$AA$4+'sv02'!$Z$4*($B162)+'sv02'!$Y$4*($B162)^2+'sv02'!$X$4*($B162)^3+'sv02'!$W$4*($B162)^4+'sv02'!$V$4*($B162)^5+'sv02'!$U$4*($B162)^6+'sv02'!$T$4*($B162)^7+'sv02'!$S$4*($B162)^8</f>
        <v>-14251.474844226132</v>
      </c>
      <c r="O162" s="5">
        <f>'sv02'!$AA$5+'sv02'!$Z$5*($B162)+'sv02'!$Y$5*($B162)^2+'sv02'!$X$5*($B162)^3+'sv02'!$W$5*($B162)^4+'sv02'!$V$5*($B162)^5+'sv02'!$U$5*($B162)^6+'sv02'!$T$5*($B162)^7+'sv02'!$S$5*($B162)^8</f>
        <v>20372.331328117187</v>
      </c>
      <c r="P162" s="5">
        <f>'sv02'!$AA$6+'sv02'!$Z$6*$B162+'sv02'!$Y$6*$B162^2+'sv02'!$X$6*$B162^3+'sv02'!$W$6*$B162^4+'sv02'!$V$6*$B162^5+'sv02'!$U$6*$B162^6+'sv02'!$T$6*$B162^7+'sv02'!$S$6*$B162^8</f>
        <v>257.5940384417334</v>
      </c>
      <c r="R162">
        <f>SQRT(($M162*1000-coord!$B$2)^2+($N162*1000-coord!$C$2)^2+($O162*1000-coord!$D$2)^2)/coord!$B$6</f>
        <v>7.4845340339138047E-2</v>
      </c>
      <c r="T162" s="5">
        <f>'sv02'!$AA$3+'sv02'!$Z$3*($B162-$R162/3600)+'sv02'!$Y$3*($B162-$R162/3600)^2+'sv02'!$X$3*($B162-$R162/3600)^3+'sv02'!$W$3*($B162-$R162/3600)^4+'sv02'!$V$3*($B162-$R162/3600)^5+'sv02'!$U$3*($B162-$R162/3600)^6+'sv02'!$T$3*($B162-$R162/3600)^7+'sv02'!$S$3*($B162-$R162/3600)^8+N162*coord!$B$7*R162</f>
        <v>9062.4819305196834</v>
      </c>
      <c r="U162" s="5">
        <f>'sv02'!$AA$4+'sv02'!$Z$4*($B162-$R162/3600)+'sv02'!$Y$4*($B162-$R162/3600)^2+'sv02'!$X$4*($B162-$R162/3600)^3+'sv02'!$W$4*($B162-$R162/3600)^4+'sv02'!$V$4*($B162-$R162/3600)^5+'sv02'!$U$4*($B162-$R162/3600)^6+'sv02'!$T$4*($B162-$R162/3600)^7+'sv02'!$S$4*($B162-$R162/3600)^8-M162*coord!$B$7*R162</f>
        <v>-14251.548283951735</v>
      </c>
      <c r="V162" s="5">
        <f>'sv02'!$AA$5+'sv02'!$Z$5*($B162-$R162/3600)+'sv02'!$Y$5*($B162-$R162/3600)^2+'sv02'!$X$5*($B162-$R162/3600)^3+'sv02'!$W$5*($B162-$R162/3600)^4+'sv02'!$V$5*($B162-$R162/3600)^5+'sv02'!$U$5*($B162-$R162/3600)^6+'sv02'!$T$5*($B162-$R162/3600)^7+'sv02'!$S$5*($B162-$R162/3600)^8</f>
        <v>20372.40427428496</v>
      </c>
      <c r="W162">
        <f>coord!$B$6*P162/10^6</f>
        <v>77224.749950593745</v>
      </c>
      <c r="X162">
        <f>SQRT(($T162*1000+coord!$B$7*$R162*$U162*1000-coord!$B$2)^2+($U162*1000-coord!$B$7*$R162*$T162*1000-coord!$C$2)^2+($V162*1000-coord!$D$2)^2)</f>
        <v>22438130.3609409</v>
      </c>
      <c r="Y162" s="3">
        <f>$D162-(X162-$W162)-coord!$E$2</f>
        <v>-64.584105376154184</v>
      </c>
      <c r="Z162" s="3"/>
      <c r="AB162">
        <f>-(T162*1000-coord!$B$2)/$X162</f>
        <v>-0.20828846630890616</v>
      </c>
      <c r="AC162">
        <f>-(U162*1000-coord!$C$2)/$X162</f>
        <v>0.67635396768928269</v>
      </c>
      <c r="AD162">
        <f>-(V162*1000-coord!$D$2)/$X162</f>
        <v>-0.70651234059949553</v>
      </c>
      <c r="AE162">
        <v>1</v>
      </c>
      <c r="AG162">
        <f t="array" ref="AG162:AM165">TRANSPOSE(AB162:AE168)</f>
        <v>-0.20828846630890616</v>
      </c>
      <c r="AH162">
        <v>-0.14688315388460813</v>
      </c>
      <c r="AI162">
        <v>-0.18539457679993501</v>
      </c>
      <c r="AJ162">
        <v>-0.86240293035971938</v>
      </c>
      <c r="AK162">
        <v>-0.41680247546989196</v>
      </c>
      <c r="AL162">
        <v>-0.43942581835050065</v>
      </c>
      <c r="AM162">
        <v>-0.96277262241582373</v>
      </c>
      <c r="AO162">
        <f t="array" ref="AO162:AR165">MMULT(AG162:AM165,AB162:AE168)</f>
        <v>2.136819185356543</v>
      </c>
      <c r="AP162">
        <v>0.25151026277842131</v>
      </c>
      <c r="AQ162">
        <v>1.1225532750916112</v>
      </c>
      <c r="AR162">
        <v>-3.2219700435893852</v>
      </c>
      <c r="AT162">
        <f t="array" ref="AT162:AW165">MINVERSE(AO162:AR165)</f>
        <v>2.6295894887924822</v>
      </c>
      <c r="AU162">
        <v>0.25707175663298848</v>
      </c>
      <c r="AV162">
        <v>1.700178570224206</v>
      </c>
      <c r="AW162">
        <v>2.0460011692812703</v>
      </c>
      <c r="AY162">
        <f t="array" ref="AY162:AY165">MMULT(AG162:AM165,Y162:Y168)</f>
        <v>-1.4083212868228738</v>
      </c>
      <c r="BA162">
        <f t="array" ref="BA162:BA165">MMULT(AT162:AW165,AY162:AY165)</f>
        <v>8.9889059450642961</v>
      </c>
      <c r="BD162">
        <f>SQRT(($T162*1000+coord!$B$7*$R162*$U162*1000-coord!$B$2-BA$162)^2+($U162*1000-coord!$B$7*$R162*$T162*1000-coord!$C$2-BA$163)^2+($V162*1000-coord!$D$2-BA$164)^2)</f>
        <v>22438059.072772332</v>
      </c>
      <c r="BE162" s="3">
        <f>$D162-(BD162-$W162)-BA$165</f>
        <v>-4.7836858276985907</v>
      </c>
      <c r="BG162" s="1">
        <f>coord!$B$2+$BA162</f>
        <v>4388887.1597059453</v>
      </c>
      <c r="BH162" s="1">
        <f>coord!$C$2+$BA163</f>
        <v>924499.41016237286</v>
      </c>
      <c r="BI162" s="1">
        <f>coord!$D$2+$BA164</f>
        <v>4519618.7449124884</v>
      </c>
      <c r="BJ162" s="1">
        <f>coord!$E$2+$BA165</f>
        <v>11.487749019708517</v>
      </c>
      <c r="BK162" s="8">
        <f>lat($BG162,$BH162,$BI162)</f>
        <v>45.411400897356948</v>
      </c>
      <c r="BL162" s="8">
        <f>lon($BG162,$BH162,$BI162)</f>
        <v>11.895197819862375</v>
      </c>
      <c r="BM162" s="6">
        <f>h($BG162,$BH162,$BI162)</f>
        <v>79.750462803058326</v>
      </c>
      <c r="BO162">
        <f>grado($BK162)</f>
        <v>45</v>
      </c>
      <c r="BP162">
        <f>MINUTOprimo($BK162)</f>
        <v>24</v>
      </c>
      <c r="BQ162">
        <f>MINUTOsecondo($BK162)</f>
        <v>41.043230485013851</v>
      </c>
      <c r="BR162">
        <f>grado($BL162)</f>
        <v>11</v>
      </c>
      <c r="BS162">
        <f>MINUTOprimo($BL162)</f>
        <v>53</v>
      </c>
      <c r="BT162">
        <f>MINUTOsecondo($BL162)</f>
        <v>42.712151504549638</v>
      </c>
      <c r="BV162">
        <f>-SIN(RADIANS(BK162))*COS(RADIANS(BL162))</f>
        <v>-0.69687288958827975</v>
      </c>
      <c r="BW162">
        <f>-SIN(RADIANS(BL162))</f>
        <v>-0.20612217206258202</v>
      </c>
      <c r="BX162">
        <f>COS(RADIANS(BK162))*COS(RADIANS(BL162))</f>
        <v>0.686936551612363</v>
      </c>
      <c r="BZ162" t="s">
        <v>93</v>
      </c>
      <c r="CA162">
        <f t="array" ref="CA162:CC164">MINVERSE(BV162:BX164)</f>
        <v>-0.69687288958827964</v>
      </c>
      <c r="CB162">
        <v>-0.14679315096030729</v>
      </c>
      <c r="CC162">
        <v>0.70201135787679791</v>
      </c>
      <c r="CD162">
        <v>0</v>
      </c>
      <c r="CE162" s="1">
        <f t="array" ref="CE162:CE164">MMULT(CA162:CC164,BA162:BA164)</f>
        <v>25.519992179235278</v>
      </c>
      <c r="CG162" s="1">
        <f t="array" ref="CG162:CI162">TRANSPOSE(CE162:CE164)</f>
        <v>25.519992179235278</v>
      </c>
      <c r="CH162" s="1">
        <v>-71.135444737623757</v>
      </c>
      <c r="CI162" s="1">
        <v>17.629727562022989</v>
      </c>
      <c r="CK162">
        <f t="array" ref="CK162:CN165">MMULT(CA162:CD165,AT162:AW165)</f>
        <v>-0.67668133194871549</v>
      </c>
      <c r="CL162">
        <v>0.10558635642649594</v>
      </c>
      <c r="CM162">
        <v>0.6052285164851372</v>
      </c>
      <c r="CN162">
        <v>-1.3381706440215302E-2</v>
      </c>
      <c r="CP162">
        <f t="array" ref="CP162:CS165">TRANSPOSE(CA162:CD165)</f>
        <v>-0.69687288958827964</v>
      </c>
      <c r="CQ162">
        <v>-0.20612217206258196</v>
      </c>
      <c r="CR162">
        <v>0.68693655161236289</v>
      </c>
      <c r="CS162">
        <v>0</v>
      </c>
      <c r="CU162" s="5">
        <f t="array" ref="CU162:CX165">MMULT(CK162:CN165,CP162:CS165)</f>
        <v>0.88093881385077499</v>
      </c>
      <c r="CV162" s="5">
        <v>0.24279804886452677</v>
      </c>
      <c r="CW162" s="5">
        <v>-1.8535764264770438E-2</v>
      </c>
      <c r="CX162" s="5">
        <v>-1.3381706440215302E-2</v>
      </c>
      <c r="CZ162" s="3">
        <f>SQRT(CU162+CV163)</f>
        <v>1.1743223523298103</v>
      </c>
      <c r="DA162" s="3">
        <f>CW164</f>
        <v>4.4194342485350635</v>
      </c>
      <c r="DB162" s="3">
        <f>CX165</f>
        <v>2.1166053077063252</v>
      </c>
      <c r="DC162" s="3">
        <f>BE169</f>
        <v>0</v>
      </c>
      <c r="DD162">
        <v>6</v>
      </c>
      <c r="DE162" s="6">
        <f>DB162*DD162*DC162</f>
        <v>0</v>
      </c>
      <c r="DF162">
        <v>5.33</v>
      </c>
      <c r="DG162" s="6">
        <f>DC162*DF162*SQRT(0.5*(CU162+CV163)+SQRT((0.5*(CU162-CV163))^2+CV162^2))</f>
        <v>0</v>
      </c>
    </row>
    <row r="163" spans="1:111">
      <c r="A163">
        <v>44</v>
      </c>
      <c r="B163">
        <f t="shared" si="94"/>
        <v>0.6166666666666667</v>
      </c>
      <c r="C163">
        <v>23</v>
      </c>
      <c r="D163">
        <f>tetto!D163*coord!$B$13-tetto!G163*coord!$B$14</f>
        <v>21334777.271156721</v>
      </c>
      <c r="E163" s="5">
        <f>90-DEGREES(ACOS((coord!$B$2*($T163*1000-coord!$B$2)+coord!$C$2*($U163*1000-coord!$C$2)+coord!$D$2*($V163*1000-coord!$D$2))/(SQRT(coord!$B$2^2+coord!$C$2^2+coord!$D$2^2)*SQRT(($T163*1000-coord!$B$2)^2+($U163*1000-coord!$C$2)^2+($V163*1000-coord!$D$2)^2))))</f>
        <v>47.460299642355494</v>
      </c>
      <c r="F163">
        <f>(coord!$C$2*($V163*1000-coord!$D$2)-coord!$D$2*($U163*1000-coord!$C$2))/(SQRT(coord!$B$2^2+coord!$C$2^2+coord!$D$2^2)*SQRT(($T163*1000-coord!$B$2)^2+($U163*1000-coord!$C$2)^2+($V163*1000-coord!$D$2)^2))</f>
        <v>-0.33110858551251654</v>
      </c>
      <c r="G163">
        <f>(-coord!$B$2*($V163*1000-coord!$D$2)+coord!$D$2*($T163*1000-coord!$B$2))/(SQRT(coord!$B$2^2+coord!$C$2^2+coord!$D$2^2)*SQRT(($T163*1000-coord!$B$2)^2+($U163*1000-coord!$C$2)^2+($V163*1000-coord!$D$2)^2))</f>
        <v>-0.42500288853701396</v>
      </c>
      <c r="H163">
        <f>(coord!$B$2*($U163*1000-coord!$C$2)-coord!$C$2*($T163*1000-coord!$B$2))/(SQRT(coord!$B$2^2+coord!$C$2^2+coord!$D$2^2)*SQRT(($T163*1000-coord!$B$2)^2+($U163*1000-coord!$C$2)^2+($V163*1000-coord!$D$2)^2))</f>
        <v>0.40847531729459685</v>
      </c>
      <c r="I163">
        <f t="shared" si="95"/>
        <v>0.5798850837547298</v>
      </c>
      <c r="J163">
        <f t="shared" si="96"/>
        <v>-0.34762325403502142</v>
      </c>
      <c r="K163">
        <f t="shared" si="97"/>
        <v>1.948947587685379E-3</v>
      </c>
      <c r="L163">
        <f t="shared" si="98"/>
        <v>59.05861041728717</v>
      </c>
      <c r="M163" s="5">
        <f>'sv23'!$AA$3+'sv23'!$Z$3*($B163)+'sv23'!$Y$3*($B163)^2+'sv23'!$X$3*($B163)^3+'sv23'!$W$3*($B163)^4+'sv23'!$V$3*($B163)^5+'sv23'!$U$3*($B163)^6+'sv23'!$T$3*($B163)^7+'sv23'!$S$3*($B163)^8</f>
        <v>7538.6974528075589</v>
      </c>
      <c r="N163" s="5">
        <f>'sv23'!$AA$4+'sv23'!$Z$4*($B163)+'sv23'!$Y$4*($B163)^2+'sv23'!$X$4*($B163)^3+'sv23'!$W$4*($B163)^4+'sv23'!$V$4*($B163)^5+'sv23'!$U$4*($B163)^6+'sv23'!$T$4*($B163)^7+'sv23'!$S$4*($B163)^8</f>
        <v>14297.442486377091</v>
      </c>
      <c r="O163" s="5">
        <f>'sv23'!$AA$5+'sv23'!$Z$5*($B163)+'sv23'!$Y$5*($B163)^2+'sv23'!$X$5*($B163)^3+'sv23'!$W$5*($B163)^4+'sv23'!$V$5*($B163)^5+'sv23'!$U$5*($B163)^6+'sv23'!$T$5*($B163)^7+'sv23'!$S$5*($B163)^8</f>
        <v>20986.672243400222</v>
      </c>
      <c r="P163" s="5">
        <f>'sv23'!$AA$6+'sv23'!$Z$6*$B163+'sv23'!$Y$6*$B163^2+'sv23'!$X$6*$B163^3+'sv23'!$W$6*$B163^4+'sv23'!$V$6*$B163^5+'sv23'!$U$6*$B163^6+'sv23'!$T$6*$B163^7+'sv23'!$S$6*$B163^8</f>
        <v>370.05577421158387</v>
      </c>
      <c r="R163">
        <f>SQRT(($M163*1000-coord!$B$2)^2+($N163*1000-coord!$C$2)^2+($O163*1000-coord!$D$2)^2)/coord!$B$6</f>
        <v>7.1535301393627779E-2</v>
      </c>
      <c r="T163" s="5">
        <f>'sv23'!$AA$3+'sv23'!$Z$3*($B163-$R163/3600)+'sv23'!$Y$3*($B163-$R163/3600)^2+'sv23'!$X$3*($B163-$R163/3600)^3+'sv23'!$W$3*($B163-$R163/3600)^4+'sv23'!$V$3*($B163-$R163/3600)^5+'sv23'!$U$3*($B163-$R163/3600)^6+'sv23'!$T$3*($B163-$R163/3600)^7+'sv23'!$S$3*($B163-$R163/3600)^8+N163*coord!$B$7*R163</f>
        <v>7538.8884692347328</v>
      </c>
      <c r="U163" s="5">
        <f>'sv23'!$AA$4+'sv23'!$Z$4*($B163-$R163/3600)+'sv23'!$Y$4*($B163-$R163/3600)^2+'sv23'!$X$4*($B163-$R163/3600)^3+'sv23'!$W$4*($B163-$R163/3600)^4+'sv23'!$V$4*($B163-$R163/3600)^5+'sv23'!$U$4*($B163-$R163/3600)^6+'sv23'!$T$4*($B163-$R163/3600)^7+'sv23'!$S$4*($B163-$R163/3600)^8-M163*coord!$B$7*R163</f>
        <v>14297.251090638978</v>
      </c>
      <c r="V163" s="5">
        <f>'sv23'!$AA$5+'sv23'!$Z$5*($B163-$R163/3600)+'sv23'!$Y$5*($B163-$R163/3600)^2+'sv23'!$X$5*($B163-$R163/3600)^3+'sv23'!$W$5*($B163-$R163/3600)^4+'sv23'!$V$5*($B163-$R163/3600)^5+'sv23'!$U$5*($B163-$R163/3600)^6+'sv23'!$T$5*($B163-$R163/3600)^7+'sv23'!$S$5*($B163-$R163/3600)^8</f>
        <v>20986.736152928537</v>
      </c>
      <c r="W163">
        <f>coord!$B$6*P163/10^6</f>
        <v>110939.93014798373</v>
      </c>
      <c r="X163">
        <f>SQRT(($T163*1000+coord!$B$7*$R163*$U163*1000-coord!$B$2)^2+($U163*1000-coord!$B$7*$R163*$T163*1000-coord!$C$2)^2+($V163*1000-coord!$D$2)^2)</f>
        <v>21445688.052895371</v>
      </c>
      <c r="Y163" s="3">
        <f>$D163-(X163-$W163)-coord!$E$2</f>
        <v>29.148409333080053</v>
      </c>
      <c r="Z163" s="3"/>
      <c r="AB163">
        <f>-(T163*1000-coord!$B$2)/$X163</f>
        <v>-0.14688315388460813</v>
      </c>
      <c r="AC163">
        <f>-(U163*1000-coord!$C$2)/$X163</f>
        <v>-0.62356035602380877</v>
      </c>
      <c r="AD163">
        <f>-(V163*1000-coord!$D$2)/$X163</f>
        <v>-0.76785355816109235</v>
      </c>
      <c r="AE163">
        <v>1</v>
      </c>
      <c r="AG163">
        <v>0.67635396768928269</v>
      </c>
      <c r="AH163">
        <v>-0.62356035602380877</v>
      </c>
      <c r="AI163">
        <v>0.71701260751331375</v>
      </c>
      <c r="AJ163">
        <v>0.3616033016047065</v>
      </c>
      <c r="AK163">
        <v>-0.90821053819450093</v>
      </c>
      <c r="AL163">
        <v>-0.26559788571870008</v>
      </c>
      <c r="AM163">
        <v>-0.2599985737467817</v>
      </c>
      <c r="AO163">
        <v>0.25151026277842131</v>
      </c>
      <c r="AP163">
        <v>2.4541341112141897</v>
      </c>
      <c r="AQ163">
        <v>-0.39616527982852862</v>
      </c>
      <c r="AR163">
        <v>-0.30239747687648849</v>
      </c>
      <c r="AT163">
        <v>0.25707175663298815</v>
      </c>
      <c r="AU163">
        <v>0.511818482523554</v>
      </c>
      <c r="AV163">
        <v>0.5126186891913117</v>
      </c>
      <c r="AW163">
        <v>0.38904311153975835</v>
      </c>
      <c r="AY163">
        <v>-187.04461276371842</v>
      </c>
      <c r="BA163">
        <v>-70.803037627142572</v>
      </c>
      <c r="BD163">
        <f>SQRT(($T163*1000+coord!$B$7*$R163*$U163*1000-coord!$B$2-BA$162)^2+($U163*1000-coord!$B$7*$R163*$T163*1000-coord!$C$2-BA$163)^2+($V163*1000-coord!$D$2-BA$164)^2)</f>
        <v>21445707.48554616</v>
      </c>
      <c r="BE163" s="3">
        <f t="shared" ref="BE163:BE168" si="99">$D163-(BD163-$W163)-BA$165</f>
        <v>-1.7719904762469554</v>
      </c>
      <c r="BG163" s="1"/>
      <c r="BH163" s="1"/>
      <c r="BI163" s="1"/>
      <c r="BV163">
        <f>-SIN(RADIANS(BK162))*SIN(RADIANS(BL162))</f>
        <v>-0.14679315096030732</v>
      </c>
      <c r="BW163">
        <f>COS(RADIANS(BL162))</f>
        <v>0.97852626443249002</v>
      </c>
      <c r="BX163">
        <f>COS(RADIANS(BK162))*SIN(RADIANS(BL162))</f>
        <v>0.1447001058981682</v>
      </c>
      <c r="BZ163" t="s">
        <v>94</v>
      </c>
      <c r="CA163">
        <v>-0.20612217206258196</v>
      </c>
      <c r="CB163">
        <v>0.97852626443248991</v>
      </c>
      <c r="CC163">
        <v>0</v>
      </c>
      <c r="CD163">
        <v>0</v>
      </c>
      <c r="CE163" s="1">
        <v>-71.135444737623757</v>
      </c>
      <c r="CG163" s="1"/>
      <c r="CH163" s="1"/>
      <c r="CI163" s="1"/>
      <c r="CK163">
        <v>-0.29046523135366492</v>
      </c>
      <c r="CL163">
        <v>0.44783963891814382</v>
      </c>
      <c r="CM163">
        <v>0.15116635122378541</v>
      </c>
      <c r="CN163">
        <v>-4.103730241664566E-2</v>
      </c>
      <c r="CP163">
        <v>-0.14679315096030729</v>
      </c>
      <c r="CQ163">
        <v>0.97852626443248991</v>
      </c>
      <c r="CR163">
        <v>0.14470010589816817</v>
      </c>
      <c r="CS163">
        <v>0</v>
      </c>
      <c r="CU163" s="5">
        <v>0.24279804886452658</v>
      </c>
      <c r="CV163" s="5">
        <v>0.49809417333064421</v>
      </c>
      <c r="CW163" s="5">
        <v>-2.7073243537216699E-2</v>
      </c>
      <c r="CX163" s="5">
        <v>-4.103730241664566E-2</v>
      </c>
    </row>
    <row r="164" spans="1:111">
      <c r="A164">
        <v>44</v>
      </c>
      <c r="B164">
        <f t="shared" si="94"/>
        <v>0.6166666666666667</v>
      </c>
      <c r="C164">
        <v>10</v>
      </c>
      <c r="D164">
        <f>tetto!D164*coord!$B$13-tetto!G164*coord!$B$14</f>
        <v>22585465.047163591</v>
      </c>
      <c r="E164" s="5">
        <f>90-DEGREES(ACOS((coord!$B$2*($T164*1000-coord!$B$2)+coord!$C$2*($U164*1000-coord!$C$2)+coord!$D$2*($V164*1000-coord!$D$2))/(SQRT(coord!$B$2^2+coord!$C$2^2+coord!$D$2^2)*SQRT(($T164*1000-coord!$B$2)^2+($U164*1000-coord!$C$2)^2+($V164*1000-coord!$D$2)^2))))</f>
        <v>30.041547301041206</v>
      </c>
      <c r="F164">
        <f>(coord!$C$2*($V164*1000-coord!$D$2)-coord!$D$2*($U164*1000-coord!$C$2))/(SQRT(coord!$B$2^2+coord!$C$2^2+coord!$D$2^2)*SQRT(($T164*1000-coord!$B$2)^2+($U164*1000-coord!$C$2)^2+($V164*1000-coord!$D$2)^2))</f>
        <v>0.60650708995278479</v>
      </c>
      <c r="G164">
        <f>(-coord!$B$2*($V164*1000-coord!$D$2)+coord!$D$2*($T164*1000-coord!$B$2))/(SQRT(coord!$B$2^2+coord!$C$2^2+coord!$D$2^2)*SQRT(($T164*1000-coord!$B$2)^2+($U164*1000-coord!$C$2)^2+($V164*1000-coord!$D$2)^2))</f>
        <v>-0.33156591198941709</v>
      </c>
      <c r="H164">
        <f>(coord!$B$2*($U164*1000-coord!$C$2)-coord!$C$2*($T164*1000-coord!$B$2))/(SQRT(coord!$B$2^2+coord!$C$2^2+coord!$D$2^2)*SQRT(($T164*1000-coord!$B$2)^2+($U164*1000-coord!$C$2)^2+($V164*1000-coord!$D$2)^2))</f>
        <v>-0.52113812556434647</v>
      </c>
      <c r="I164">
        <f t="shared" si="95"/>
        <v>-0.73982820248407521</v>
      </c>
      <c r="J164">
        <f t="shared" si="96"/>
        <v>-0.44946614359400483</v>
      </c>
      <c r="K164">
        <f t="shared" si="97"/>
        <v>-2.4832730429299454E-3</v>
      </c>
      <c r="L164">
        <f t="shared" si="98"/>
        <v>-58.720159078508374</v>
      </c>
      <c r="M164" s="5">
        <f>'sv10'!$AA$3+'sv10'!$Z$3*($B164)+'sv10'!$Y$3*($B164)^2+'sv10'!$X$3*($B164)^3+'sv10'!$W$3*($B164)^4+'sv10'!$V$3*($B164)^5+'sv10'!$U$3*($B164)^6+'sv10'!$T$3*($B164)^7+'sv10'!$S$3*($B164)^8</f>
        <v>8573.892445015852</v>
      </c>
      <c r="N164" s="5">
        <f>'sv10'!$AA$4+'sv10'!$Z$4*($B164)+'sv10'!$Y$4*($B164)^2+'sv10'!$X$4*($B164)^3+'sv10'!$W$4*($B164)^4+'sv10'!$V$4*($B164)^5+'sv10'!$U$4*($B164)^6+'sv10'!$T$4*($B164)^7+'sv10'!$S$4*($B164)^8</f>
        <v>-15260.07241933777</v>
      </c>
      <c r="O164" s="5">
        <f>'sv10'!$AA$5+'sv10'!$Z$5*($B164)+'sv10'!$Y$5*($B164)^2+'sv10'!$X$5*($B164)^3+'sv10'!$W$5*($B164)^4+'sv10'!$V$5*($B164)^5+'sv10'!$U$5*($B164)^6+'sv10'!$T$5*($B164)^7+'sv10'!$S$5*($B164)^8</f>
        <v>19687.421447781126</v>
      </c>
      <c r="P164" s="5">
        <f>'sv10'!$AA$6+'sv10'!$Z$6*$B164+'sv10'!$Y$6*$B164^2+'sv10'!$X$6*$B164^3+'sv10'!$W$6*$B164^4+'sv10'!$V$6*$B164^5+'sv10'!$U$6*$B164^6+'sv10'!$T$6*$B164^7+'sv10'!$S$6*$B164^8</f>
        <v>-43.001884233206539</v>
      </c>
      <c r="R164">
        <f>SQRT(($M164*1000-coord!$B$2)^2+($N164*1000-coord!$C$2)^2+($O164*1000-coord!$D$2)^2)/coord!$B$6</f>
        <v>7.5293933349355857E-2</v>
      </c>
      <c r="T164" s="5">
        <f>'sv10'!$AA$3+'sv10'!$Z$3*($B164-$R164/3600)+'sv10'!$Y$3*($B164-$R164/3600)^2+'sv10'!$X$3*($B164-$R164/3600)^3+'sv10'!$W$3*($B164-$R164/3600)^4+'sv10'!$V$3*($B164-$R164/3600)^5+'sv10'!$U$3*($B164-$R164/3600)^6+'sv10'!$T$3*($B164-$R164/3600)^7+'sv10'!$S$3*($B164-$R164/3600)^8+N164*coord!$B$7*R164</f>
        <v>8573.7216701425968</v>
      </c>
      <c r="U164" s="5">
        <f>'sv10'!$AA$4+'sv10'!$Z$4*($B164-$R164/3600)+'sv10'!$Y$4*($B164-$R164/3600)^2+'sv10'!$X$4*($B164-$R164/3600)^3+'sv10'!$W$4*($B164-$R164/3600)^4+'sv10'!$V$4*($B164-$R164/3600)^5+'sv10'!$U$4*($B164-$R164/3600)^6+'sv10'!$T$4*($B164-$R164/3600)^7+'sv10'!$S$4*($B164-$R164/3600)^8-M164*coord!$B$7*R164</f>
        <v>-15260.291292952901</v>
      </c>
      <c r="V164" s="5">
        <f>'sv10'!$AA$5+'sv10'!$Z$5*($B164-$R164/3600)+'sv10'!$Y$5*($B164-$R164/3600)^2+'sv10'!$X$5*($B164-$R164/3600)^3+'sv10'!$W$5*($B164-$R164/3600)^4+'sv10'!$V$5*($B164-$R164/3600)^5+'sv10'!$U$5*($B164-$R164/3600)^6+'sv10'!$T$5*($B164-$R164/3600)^7+'sv10'!$S$5*($B164-$R164/3600)^8</f>
        <v>19687.324485969879</v>
      </c>
      <c r="W164">
        <f>coord!$B$6*P164/10^6</f>
        <v>-12891.640572904435</v>
      </c>
      <c r="X164">
        <f>SQRT(($T164*1000+coord!$B$7*$R164*$U164*1000-coord!$B$2)^2+($U164*1000-coord!$B$7*$R164*$T164*1000-coord!$C$2)^2+($V164*1000-coord!$D$2)^2)</f>
        <v>22572631.689537443</v>
      </c>
      <c r="Y164" s="3">
        <f>$D164-(X164-$W164)-coord!$E$2</f>
        <v>-58.28294675797224</v>
      </c>
      <c r="Z164" s="3"/>
      <c r="AB164">
        <f>-(T164*1000-coord!$B$2)/$X164</f>
        <v>-0.18539457679993501</v>
      </c>
      <c r="AC164">
        <f>-(U164*1000-coord!$C$2)/$X164</f>
        <v>0.71701260751331375</v>
      </c>
      <c r="AD164">
        <f>-(V164*1000-coord!$D$2)/$X164</f>
        <v>-0.6719524962922343</v>
      </c>
      <c r="AE164">
        <v>1</v>
      </c>
      <c r="AG164">
        <v>-0.70651234059949553</v>
      </c>
      <c r="AH164">
        <v>-0.76785355816109235</v>
      </c>
      <c r="AI164">
        <v>-0.6719524962922343</v>
      </c>
      <c r="AJ164">
        <v>-0.35426413591101041</v>
      </c>
      <c r="AK164">
        <v>3.7829437765291775E-2</v>
      </c>
      <c r="AL164">
        <v>-0.85811600770858421</v>
      </c>
      <c r="AM164">
        <v>-7.3957698844166503E-2</v>
      </c>
      <c r="AO164">
        <v>1.1225532750916112</v>
      </c>
      <c r="AP164">
        <v>-0.39616527982852862</v>
      </c>
      <c r="AQ164">
        <v>2.4090458997318489</v>
      </c>
      <c r="AR164">
        <v>-3.394826799751292</v>
      </c>
      <c r="AT164">
        <v>1.7001785702242038</v>
      </c>
      <c r="AU164">
        <v>0.51261868919131182</v>
      </c>
      <c r="AV164">
        <v>2.6570592644004485</v>
      </c>
      <c r="AW164">
        <v>2.0933135742200433</v>
      </c>
      <c r="AY164">
        <v>72.546416859789943</v>
      </c>
      <c r="BA164">
        <v>30.470612488742788</v>
      </c>
      <c r="BD164">
        <f>SQRT(($T164*1000+coord!$B$7*$R164*$U164*1000-coord!$B$2-BA$162)^2+($U164*1000-coord!$B$7*$R164*$T164*1000-coord!$C$2-BA$163)^2+($V164*1000-coord!$D$2-BA$164)^2)</f>
        <v>22572558.781469639</v>
      </c>
      <c r="BE164" s="3">
        <f t="shared" si="99"/>
        <v>3.1373720261491513</v>
      </c>
      <c r="BG164" s="1"/>
      <c r="BH164" s="1"/>
      <c r="BI164" s="1"/>
      <c r="BV164">
        <f>COS(RADIANS(BK162))</f>
        <v>0.70201135787679803</v>
      </c>
      <c r="BW164">
        <v>0</v>
      </c>
      <c r="BX164">
        <f>SIN(RADIANS(BK162))</f>
        <v>0.71216574855294346</v>
      </c>
      <c r="BZ164" t="s">
        <v>95</v>
      </c>
      <c r="CA164">
        <v>0.68693655161236289</v>
      </c>
      <c r="CB164">
        <v>0.14470010589816817</v>
      </c>
      <c r="CC164">
        <v>0.71216574855294335</v>
      </c>
      <c r="CD164">
        <v>0</v>
      </c>
      <c r="CE164" s="1">
        <v>17.629727562022989</v>
      </c>
      <c r="CG164" s="1"/>
      <c r="CH164" s="1"/>
      <c r="CI164" s="1"/>
      <c r="CK164">
        <v>3.0543683901328382</v>
      </c>
      <c r="CL164">
        <v>0.61572164715035482</v>
      </c>
      <c r="CM164">
        <v>3.1343573827476949</v>
      </c>
      <c r="CN164">
        <v>2.9525537958001484</v>
      </c>
      <c r="CP164">
        <v>0.70201135787679791</v>
      </c>
      <c r="CQ164">
        <v>0</v>
      </c>
      <c r="CR164">
        <v>0.71216574855294335</v>
      </c>
      <c r="CS164">
        <v>0</v>
      </c>
      <c r="CU164" s="5">
        <v>-1.8535764264767884E-2</v>
      </c>
      <c r="CV164" s="5">
        <v>-2.7073243537216074E-2</v>
      </c>
      <c r="CW164" s="5">
        <v>4.4194342485350635</v>
      </c>
      <c r="CX164" s="5">
        <v>2.9525537958001484</v>
      </c>
    </row>
    <row r="165" spans="1:111">
      <c r="A165">
        <v>44</v>
      </c>
      <c r="B165">
        <f t="shared" si="94"/>
        <v>0.6166666666666667</v>
      </c>
      <c r="C165">
        <v>4</v>
      </c>
      <c r="D165">
        <f>tetto!D165*coord!$B$13-tetto!G165*coord!$B$14</f>
        <v>21284395.157571487</v>
      </c>
      <c r="E165" s="5">
        <f>90-DEGREES(ACOS((coord!$B$2*($T165*1000-coord!$B$2)+coord!$C$2*($U165*1000-coord!$C$2)+coord!$D$2*($V165*1000-coord!$D$2))/(SQRT(coord!$B$2^2+coord!$C$2^2+coord!$D$2^2)*SQRT(($T165*1000-coord!$B$2)^2+($U165*1000-coord!$C$2)^2+($V165*1000-coord!$D$2)^2))))</f>
        <v>52.502780263682126</v>
      </c>
      <c r="F165">
        <f>(coord!$C$2*($V165*1000-coord!$D$2)-coord!$D$2*($U165*1000-coord!$C$2))/(SQRT(coord!$B$2^2+coord!$C$2^2+coord!$D$2^2)*SQRT(($T165*1000-coord!$B$2)^2+($U165*1000-coord!$C$2)^2+($V165*1000-coord!$D$2)^2))</f>
        <v>0.30810720259031765</v>
      </c>
      <c r="G165">
        <f>(-coord!$B$2*($V165*1000-coord!$D$2)+coord!$D$2*($T165*1000-coord!$B$2))/(SQRT(coord!$B$2^2+coord!$C$2^2+coord!$D$2^2)*SQRT(($T165*1000-coord!$B$2)^2+($U165*1000-coord!$C$2)^2+($V165*1000-coord!$D$2)^2))</f>
        <v>0.36795019315263483</v>
      </c>
      <c r="H165">
        <f>(coord!$B$2*($U165*1000-coord!$C$2)-coord!$C$2*($T165*1000-coord!$B$2))/(SQRT(coord!$B$2^2+coord!$C$2^2+coord!$D$2^2)*SQRT(($T165*1000-coord!$B$2)^2+($U165*1000-coord!$C$2)^2+($V165*1000-coord!$D$2)^2))</f>
        <v>-0.37446790758990961</v>
      </c>
      <c r="I165">
        <f t="shared" si="95"/>
        <v>-0.53160712005954158</v>
      </c>
      <c r="J165">
        <f t="shared" si="96"/>
        <v>0.29653715563796612</v>
      </c>
      <c r="K165">
        <f t="shared" si="97"/>
        <v>-1.7866090792776346E-3</v>
      </c>
      <c r="L165">
        <f t="shared" si="98"/>
        <v>240.84667078809491</v>
      </c>
      <c r="M165" s="5">
        <f>'sv04'!$AA$3+'sv04'!$Z$3*($B165)+'sv04'!$Y$3*($B165)^2+'sv04'!$X$3*($B165)^3+'sv04'!$W$3*($B165)^4+'sv04'!$V$3*($B165)^5+'sv04'!$U$3*($B165)^6+'sv04'!$T$3*($B165)^7+'sv04'!$S$3*($B165)^8</f>
        <v>22767.162449907108</v>
      </c>
      <c r="N165" s="5">
        <f>'sv04'!$AA$4+'sv04'!$Z$4*($B165)+'sv04'!$Y$4*($B165)^2+'sv04'!$X$4*($B165)^3+'sv04'!$W$4*($B165)^4+'sv04'!$V$4*($B165)^5+'sv04'!$U$4*($B165)^6+'sv04'!$T$4*($B165)^7+'sv04'!$S$4*($B165)^8</f>
        <v>-6781.1894325115381</v>
      </c>
      <c r="O165" s="5">
        <f>'sv04'!$AA$5+'sv04'!$Z$5*($B165)+'sv04'!$Y$5*($B165)^2+'sv04'!$X$5*($B165)^3+'sv04'!$W$5*($B165)^4+'sv04'!$V$5*($B165)^5+'sv04'!$U$5*($B165)^6+'sv04'!$T$5*($B165)^7+'sv04'!$S$5*($B165)^8</f>
        <v>12068.912190264189</v>
      </c>
      <c r="P165" s="5">
        <f>'sv04'!$AA$6+'sv04'!$Z$6*$B165+'sv04'!$Y$6*$B165^2+'sv04'!$X$6*$B165^3+'sv04'!$W$6*$B165^4+'sv04'!$V$6*$B165^5+'sv04'!$U$6*$B165^6+'sv04'!$T$6*$B165^7+'sv04'!$S$6*$B165^8</f>
        <v>86.60570458092262</v>
      </c>
      <c r="R165">
        <f>SQRT(($M165*1000-coord!$B$2)^2+($N165*1000-coord!$C$2)^2+($O165*1000-coord!$D$2)^2)/coord!$B$6</f>
        <v>7.1083780973426797E-2</v>
      </c>
      <c r="T165" s="5">
        <f>'sv04'!$AA$3+'sv04'!$Z$3*($B165-$R165/3600)+'sv04'!$Y$3*($B165-$R165/3600)^2+'sv04'!$X$3*($B165-$R165/3600)^3+'sv04'!$W$3*($B165-$R165/3600)^4+'sv04'!$V$3*($B165-$R165/3600)^5+'sv04'!$U$3*($B165-$R165/3600)^6+'sv04'!$T$3*($B165-$R165/3600)^7+'sv04'!$S$3*($B165-$R165/3600)^8+N165*coord!$B$7*R165</f>
        <v>22767.019282568337</v>
      </c>
      <c r="U165" s="5">
        <f>'sv04'!$AA$4+'sv04'!$Z$4*($B165-$R165/3600)+'sv04'!$Y$4*($B165-$R165/3600)^2+'sv04'!$X$4*($B165-$R165/3600)^3+'sv04'!$W$4*($B165-$R165/3600)^4+'sv04'!$V$4*($B165-$R165/3600)^5+'sv04'!$U$4*($B165-$R165/3600)^6+'sv04'!$T$4*($B165-$R165/3600)^7+'sv04'!$S$4*($B165-$R165/3600)^8-M165*coord!$B$7*R165</f>
        <v>-6781.3364684953613</v>
      </c>
      <c r="V165" s="5">
        <f>'sv04'!$AA$5+'sv04'!$Z$5*($B165-$R165/3600)+'sv04'!$Y$5*($B165-$R165/3600)^2+'sv04'!$X$5*($B165-$R165/3600)^3+'sv04'!$W$5*($B165-$R165/3600)^4+'sv04'!$V$5*($B165-$R165/3600)^5+'sv04'!$U$5*($B165-$R165/3600)^6+'sv04'!$T$5*($B165-$R165/3600)^7+'sv04'!$S$5*($B165-$R165/3600)^8</f>
        <v>12069.094487011409</v>
      </c>
      <c r="W165">
        <f>coord!$B$6*P165/10^6</f>
        <v>25963.737053136654</v>
      </c>
      <c r="X165">
        <f>SQRT(($T165*1000+coord!$B$7*$R165*$U165*1000-coord!$B$2)^2+($U165*1000-coord!$B$7*$R165*$T165*1000-coord!$C$2)^2+($V165*1000-coord!$D$2)^2)</f>
        <v>21310388.061996236</v>
      </c>
      <c r="Y165" s="3">
        <f>$D165-(X165-$W165)-coord!$E$2</f>
        <v>-29.167371612042189</v>
      </c>
      <c r="Z165" s="3"/>
      <c r="AB165">
        <f>-(T165*1000-coord!$B$2)/$X165</f>
        <v>-0.86240293035971938</v>
      </c>
      <c r="AC165">
        <f>-(U165*1000-coord!$C$2)/$X165</f>
        <v>0.3616033016047065</v>
      </c>
      <c r="AD165">
        <f>-(V165*1000-coord!$D$2)/$X165</f>
        <v>-0.35426413591101041</v>
      </c>
      <c r="AE165">
        <v>1</v>
      </c>
      <c r="AG165">
        <v>1</v>
      </c>
      <c r="AH165">
        <v>1</v>
      </c>
      <c r="AI165">
        <v>1</v>
      </c>
      <c r="AJ165">
        <v>1</v>
      </c>
      <c r="AK165">
        <v>1</v>
      </c>
      <c r="AL165">
        <v>1</v>
      </c>
      <c r="AM165">
        <v>1</v>
      </c>
      <c r="AO165">
        <v>-3.2219700435893852</v>
      </c>
      <c r="AP165">
        <v>-0.30239747687648849</v>
      </c>
      <c r="AQ165">
        <v>-3.394826799751292</v>
      </c>
      <c r="AR165">
        <v>7</v>
      </c>
      <c r="AT165">
        <v>2.0460011692812694</v>
      </c>
      <c r="AU165">
        <v>0.3890431115397584</v>
      </c>
      <c r="AV165">
        <v>2.0933135742200437</v>
      </c>
      <c r="AW165">
        <v>2.1166053077063252</v>
      </c>
      <c r="AY165">
        <v>-30.579534489661455</v>
      </c>
      <c r="BA165">
        <v>11.487749019708517</v>
      </c>
      <c r="BD165">
        <f>SQRT(($T165*1000+coord!$B$7*$R165*$U165*1000-coord!$B$2-BA$162)^2+($U165*1000-coord!$B$7*$R165*$T165*1000-coord!$C$2-BA$163)^2+($V165*1000-coord!$D$2-BA$164)^2)</f>
        <v>21310343.912398338</v>
      </c>
      <c r="BE165" s="3">
        <f t="shared" si="99"/>
        <v>3.4944772663749433</v>
      </c>
      <c r="BG165" s="1"/>
      <c r="BH165" s="1"/>
      <c r="BI165" s="1"/>
      <c r="CA165">
        <v>0</v>
      </c>
      <c r="CB165">
        <v>0</v>
      </c>
      <c r="CC165">
        <v>0</v>
      </c>
      <c r="CD165">
        <v>1</v>
      </c>
      <c r="CG165" s="1"/>
      <c r="CH165" s="1"/>
      <c r="CI165" s="1"/>
      <c r="CK165">
        <v>2.0460011692812694</v>
      </c>
      <c r="CL165">
        <v>0.3890431115397584</v>
      </c>
      <c r="CM165">
        <v>2.0933135742200437</v>
      </c>
      <c r="CN165">
        <v>2.1166053077063252</v>
      </c>
      <c r="CP165">
        <v>0</v>
      </c>
      <c r="CQ165">
        <v>0</v>
      </c>
      <c r="CR165">
        <v>0</v>
      </c>
      <c r="CS165">
        <v>1</v>
      </c>
      <c r="CU165" s="5">
        <v>-1.3381706440214414E-2</v>
      </c>
      <c r="CV165" s="5">
        <v>-4.1037302416645438E-2</v>
      </c>
      <c r="CW165" s="5">
        <v>2.9525537958001484</v>
      </c>
      <c r="CX165" s="5">
        <v>2.1166053077063252</v>
      </c>
    </row>
    <row r="166" spans="1:111">
      <c r="A166">
        <v>44</v>
      </c>
      <c r="B166">
        <f t="shared" si="94"/>
        <v>0.6166666666666667</v>
      </c>
      <c r="C166">
        <v>20</v>
      </c>
      <c r="D166">
        <f>tetto!D166*coord!$B$13-tetto!G166*coord!$B$14</f>
        <v>23399850.973772436</v>
      </c>
      <c r="E166" s="5">
        <f>90-DEGREES(ACOS((coord!$B$2*($T166*1000-coord!$B$2)+coord!$C$2*($U166*1000-coord!$C$2)+coord!$D$2*($V166*1000-coord!$D$2))/(SQRT(coord!$B$2^2+coord!$C$2^2+coord!$D$2^2)*SQRT(($T166*1000-coord!$B$2)^2+($U166*1000-coord!$C$2)^2+($V166*1000-coord!$D$2)^2))))</f>
        <v>23.098604760839109</v>
      </c>
      <c r="F166">
        <f>(coord!$C$2*($V166*1000-coord!$D$2)-coord!$D$2*($U166*1000-coord!$C$2))/(SQRT(coord!$B$2^2+coord!$C$2^2+coord!$D$2^2)*SQRT(($T166*1000-coord!$B$2)^2+($U166*1000-coord!$C$2)^2+($V166*1000-coord!$D$2)^2))</f>
        <v>-0.65014153572561029</v>
      </c>
      <c r="G166">
        <f>(-coord!$B$2*($V166*1000-coord!$D$2)+coord!$D$2*($T166*1000-coord!$B$2))/(SQRT(coord!$B$2^2+coord!$C$2^2+coord!$D$2^2)*SQRT(($T166*1000-coord!$B$2)^2+($U166*1000-coord!$C$2)^2+($V166*1000-coord!$D$2)^2))</f>
        <v>0.32192153130951062</v>
      </c>
      <c r="H166">
        <f>(coord!$B$2*($U166*1000-coord!$C$2)-coord!$C$2*($T166*1000-coord!$B$2))/(SQRT(coord!$B$2^2+coord!$C$2^2+coord!$D$2^2)*SQRT(($T166*1000-coord!$B$2)^2+($U166*1000-coord!$C$2)^2+($V166*1000-coord!$D$2)^2))</f>
        <v>0.56548357507982383</v>
      </c>
      <c r="I166">
        <f t="shared" si="95"/>
        <v>0.80278260717209293</v>
      </c>
      <c r="J166">
        <f t="shared" si="96"/>
        <v>0.44902336973938006</v>
      </c>
      <c r="K166">
        <f t="shared" si="97"/>
        <v>2.6947228509013876E-3</v>
      </c>
      <c r="L166">
        <f t="shared" si="98"/>
        <v>119.21975603195352</v>
      </c>
      <c r="M166" s="5">
        <f>'sv20'!$AA$3+'sv20'!$Z$3*($B166)+'sv20'!$Y$3*($B166)^2+'sv20'!$X$3*($B166)^3+'sv20'!$W$3*($B166)^4+'sv20'!$V$3*($B166)^5+'sv20'!$U$3*($B166)^6+'sv20'!$T$3*($B166)^7+'sv20'!$S$3*($B166)^8</f>
        <v>14148.803387344406</v>
      </c>
      <c r="N166" s="5">
        <f>'sv20'!$AA$4+'sv20'!$Z$4*($B166)+'sv20'!$Y$4*($B166)^2+'sv20'!$X$4*($B166)^3+'sv20'!$W$4*($B166)^4+'sv20'!$V$4*($B166)^5+'sv20'!$U$4*($B166)^6+'sv20'!$T$4*($B166)^7+'sv20'!$S$4*($B166)^8</f>
        <v>22191.816944955397</v>
      </c>
      <c r="O166" s="5">
        <f>'sv20'!$AA$5+'sv20'!$Z$5*($B166)+'sv20'!$Y$5*($B166)^2+'sv20'!$X$5*($B166)^3+'sv20'!$W$5*($B166)^4+'sv20'!$V$5*($B166)^5+'sv20'!$U$5*($B166)^6+'sv20'!$T$5*($B166)^7+'sv20'!$S$5*($B166)^8</f>
        <v>3633.5147401712247</v>
      </c>
      <c r="P166" s="5">
        <f>'sv20'!$AA$6+'sv20'!$Z$6*$B166+'sv20'!$Y$6*$B166^2+'sv20'!$X$6*$B166^3+'sv20'!$W$6*$B166^4+'sv20'!$V$6*$B166^5+'sv20'!$U$6*$B166^6+'sv20'!$T$6*$B166^7+'sv20'!$S$6*$B166^8</f>
        <v>55.817602605254599</v>
      </c>
      <c r="R166">
        <f>SQRT(($M166*1000-coord!$B$2)^2+($N166*1000-coord!$C$2)^2+($O166*1000-coord!$D$2)^2)/coord!$B$6</f>
        <v>7.8109362404174904E-2</v>
      </c>
      <c r="T166" s="5">
        <f>'sv20'!$AA$3+'sv20'!$Z$3*($B166-$R166/3600)+'sv20'!$Y$3*($B166-$R166/3600)^2+'sv20'!$X$3*($B166-$R166/3600)^3+'sv20'!$W$3*($B166-$R166/3600)^4+'sv20'!$V$3*($B166-$R166/3600)^5+'sv20'!$U$3*($B166-$R166/3600)^6+'sv20'!$T$3*($B166-$R166/3600)^7+'sv20'!$S$3*($B166-$R166/3600)^8+N166*coord!$B$7*R166</f>
        <v>14148.937225253947</v>
      </c>
      <c r="U166" s="5">
        <f>'sv20'!$AA$4+'sv20'!$Z$4*($B166-$R166/3600)+'sv20'!$Y$4*($B166-$R166/3600)^2+'sv20'!$X$4*($B166-$R166/3600)^3+'sv20'!$W$4*($B166-$R166/3600)^4+'sv20'!$V$4*($B166-$R166/3600)^5+'sv20'!$U$4*($B166-$R166/3600)^6+'sv20'!$T$4*($B166-$R166/3600)^7+'sv20'!$S$4*($B166-$R166/3600)^8-M166*coord!$B$7*R166</f>
        <v>22191.690751921564</v>
      </c>
      <c r="V166" s="5">
        <f>'sv20'!$AA$5+'sv20'!$Z$5*($B166-$R166/3600)+'sv20'!$Y$5*($B166-$R166/3600)^2+'sv20'!$X$5*($B166-$R166/3600)^3+'sv20'!$W$5*($B166-$R166/3600)^4+'sv20'!$V$5*($B166-$R166/3600)^5+'sv20'!$U$5*($B166-$R166/3600)^6+'sv20'!$T$5*($B166-$R166/3600)^7+'sv20'!$S$5*($B166-$R166/3600)^8</f>
        <v>3633.7548920251174</v>
      </c>
      <c r="W166">
        <f>coord!$B$6*P166/10^6</f>
        <v>16733.696284696482</v>
      </c>
      <c r="X166">
        <f>SQRT(($T166*1000+coord!$B$7*$R166*$U166*1000-coord!$B$2)^2+($U166*1000-coord!$B$7*$R166*$T166*1000-coord!$C$2)^2+($V166*1000-coord!$D$2)^2)</f>
        <v>23416509.327231605</v>
      </c>
      <c r="Y166" s="3">
        <f>$D166-(X166-$W166)-coord!$E$2</f>
        <v>75.342825528234243</v>
      </c>
      <c r="Z166" s="3"/>
      <c r="AB166">
        <f>-(T166*1000-coord!$B$2)/$X166</f>
        <v>-0.41680247546989196</v>
      </c>
      <c r="AC166">
        <f>-(U166*1000-coord!$C$2)/$X166</f>
        <v>-0.90821053819450093</v>
      </c>
      <c r="AD166">
        <f>-(V166*1000-coord!$D$2)/$X166</f>
        <v>3.7829437765291775E-2</v>
      </c>
      <c r="AE166">
        <v>1</v>
      </c>
      <c r="BD166">
        <f>SQRT(($T166*1000+coord!$B$7*$R166*$U166*1000-coord!$B$2-BA$162)^2+($U166*1000-coord!$B$7*$R166*$T166*1000-coord!$C$2-BA$163)^2+($V166*1000-coord!$D$2-BA$164)^2)</f>
        <v>23416571.03713949</v>
      </c>
      <c r="BE166" s="3">
        <f t="shared" si="99"/>
        <v>2.1451686228848672</v>
      </c>
      <c r="BG166" s="1"/>
      <c r="BH166" s="1"/>
      <c r="BI166" s="1"/>
      <c r="CG166" s="1"/>
      <c r="CH166" s="1"/>
      <c r="CI166" s="1"/>
    </row>
    <row r="167" spans="1:111">
      <c r="A167">
        <v>44</v>
      </c>
      <c r="B167">
        <f t="shared" si="94"/>
        <v>0.6166666666666667</v>
      </c>
      <c r="C167">
        <v>13</v>
      </c>
      <c r="D167">
        <f>tetto!D167*coord!$B$13-tetto!G167*coord!$B$14</f>
        <v>20228409.941581357</v>
      </c>
      <c r="E167" s="5">
        <f>90-DEGREES(ACOS((coord!$B$2*($T167*1000-coord!$B$2)+coord!$C$2*($U167*1000-coord!$C$2)+coord!$D$2*($V167*1000-coord!$D$2))/(SQRT(coord!$B$2^2+coord!$C$2^2+coord!$D$2^2)*SQRT(($T167*1000-coord!$B$2)^2+($U167*1000-coord!$C$2)^2+($V167*1000-coord!$D$2)^2))))</f>
        <v>71.904867813572281</v>
      </c>
      <c r="F167">
        <f>(coord!$C$2*($V167*1000-coord!$D$2)-coord!$D$2*($U167*1000-coord!$C$2))/(SQRT(coord!$B$2^2+coord!$C$2^2+coord!$D$2^2)*SQRT(($T167*1000-coord!$B$2)^2+($U167*1000-coord!$C$2)^2+($V167*1000-coord!$D$2)^2))</f>
        <v>-6.3920066213677712E-2</v>
      </c>
      <c r="G167">
        <f>(-coord!$B$2*($V167*1000-coord!$D$2)+coord!$D$2*($T167*1000-coord!$B$2))/(SQRT(coord!$B$2^2+coord!$C$2^2+coord!$D$2^2)*SQRT(($T167*1000-coord!$B$2)^2+($U167*1000-coord!$C$2)^2+($V167*1000-coord!$D$2)^2))</f>
        <v>-0.27957141257440637</v>
      </c>
      <c r="H167">
        <f>(coord!$B$2*($U167*1000-coord!$C$2)-coord!$C$2*($T167*1000-coord!$B$2))/(SQRT(coord!$B$2^2+coord!$C$2^2+coord!$D$2^2)*SQRT(($T167*1000-coord!$B$2)^2+($U167*1000-coord!$C$2)^2+($V167*1000-coord!$D$2)^2))</f>
        <v>0.11926324945900725</v>
      </c>
      <c r="I167">
        <f t="shared" si="95"/>
        <v>0.16930947617108241</v>
      </c>
      <c r="J167">
        <f t="shared" si="96"/>
        <v>-0.26039133834990258</v>
      </c>
      <c r="K167">
        <f t="shared" si="97"/>
        <v>5.6961052616559538E-4</v>
      </c>
      <c r="L167">
        <f t="shared" si="98"/>
        <v>33.032390754891402</v>
      </c>
      <c r="M167" s="5">
        <f>'sv13'!$AA$3+'sv13'!$Z$3*($B167)+'sv13'!$Y$3*($B167)^2+'sv13'!$X$3*($B167)^3+'sv13'!$W$3*($B167)^4+'sv13'!$V$3*($B167)^5+'sv13'!$U$3*($B167)^6+'sv13'!$T$3*($B167)^7+'sv13'!$S$3*($B167)^8</f>
        <v>13317.689421660793</v>
      </c>
      <c r="N167" s="5">
        <f>'sv13'!$AA$4+'sv13'!$Z$4*($B167)+'sv13'!$Y$4*($B167)^2+'sv13'!$X$4*($B167)^3+'sv13'!$W$4*($B167)^4+'sv13'!$V$4*($B167)^5+'sv13'!$U$4*($B167)^6+'sv13'!$T$4*($B167)^7+'sv13'!$S$4*($B167)^8</f>
        <v>6321.6306116934484</v>
      </c>
      <c r="O167" s="5">
        <f>'sv13'!$AA$5+'sv13'!$Z$5*($B167)+'sv13'!$Y$5*($B167)^2+'sv13'!$X$5*($B167)^3+'sv13'!$W$5*($B167)^4+'sv13'!$V$5*($B167)^5+'sv13'!$U$5*($B167)^6+'sv13'!$T$5*($B167)^7+'sv13'!$S$5*($B167)^8</f>
        <v>21956.199927473506</v>
      </c>
      <c r="P167" s="5">
        <f>'sv13'!$AA$6+'sv13'!$Z$6*$B167+'sv13'!$Y$6*$B167^2+'sv13'!$X$6*$B167^3+'sv13'!$W$6*$B167^4+'sv13'!$V$6*$B167^5+'sv13'!$U$6*$B167^6+'sv13'!$T$6*$B167^7+'sv13'!$S$6*$B167^8</f>
        <v>304.2191954046603</v>
      </c>
      <c r="R167">
        <f>SQRT(($M167*1000-coord!$B$2)^2+($N167*1000-coord!$C$2)^2+($O167*1000-coord!$D$2)^2)/coord!$B$6</f>
        <v>6.7778989456853095E-2</v>
      </c>
      <c r="T167" s="5">
        <f>'sv13'!$AA$3+'sv13'!$Z$3*($B167-$R167/3600)+'sv13'!$Y$3*($B167-$R167/3600)^2+'sv13'!$X$3*($B167-$R167/3600)^3+'sv13'!$W$3*($B167-$R167/3600)^4+'sv13'!$V$3*($B167-$R167/3600)^5+'sv13'!$U$3*($B167-$R167/3600)^6+'sv13'!$T$3*($B167-$R167/3600)^7+'sv13'!$S$3*($B167-$R167/3600)^8+N167*coord!$B$7*R167</f>
        <v>13317.839544497168</v>
      </c>
      <c r="U167" s="5">
        <f>'sv13'!$AA$4+'sv13'!$Z$4*($B167-$R167/3600)+'sv13'!$Y$4*($B167-$R167/3600)^2+'sv13'!$X$4*($B167-$R167/3600)^3+'sv13'!$W$4*($B167-$R167/3600)^4+'sv13'!$V$4*($B167-$R167/3600)^5+'sv13'!$U$4*($B167-$R167/3600)^6+'sv13'!$T$4*($B167-$R167/3600)^7+'sv13'!$S$4*($B167-$R167/3600)^8-M167*coord!$B$7*R167</f>
        <v>6321.4157408933897</v>
      </c>
      <c r="V167" s="5">
        <f>'sv13'!$AA$5+'sv13'!$Z$5*($B167-$R167/3600)+'sv13'!$Y$5*($B167-$R167/3600)^2+'sv13'!$X$5*($B167-$R167/3600)^3+'sv13'!$W$5*($B167-$R167/3600)^4+'sv13'!$V$5*($B167-$R167/3600)^5+'sv13'!$U$5*($B167-$R167/3600)^6+'sv13'!$T$5*($B167-$R167/3600)^7+'sv13'!$S$5*($B167-$R167/3600)^8</f>
        <v>21956.171121759442</v>
      </c>
      <c r="W167">
        <f>coord!$B$6*P167/10^6</f>
        <v>91202.620361145411</v>
      </c>
      <c r="X167">
        <f>SQRT(($T167*1000+coord!$B$7*$R167*$U167*1000-coord!$B$2)^2+($U167*1000-coord!$B$7*$R167*$T167*1000-coord!$C$2)^2+($V167*1000-coord!$D$2)^2)</f>
        <v>20319610.275095694</v>
      </c>
      <c r="Y167" s="3">
        <f>$D167-(X167-$W167)-coord!$E$2</f>
        <v>2.2868468090891838</v>
      </c>
      <c r="Z167" s="3"/>
      <c r="AB167">
        <f>-(T167*1000-coord!$B$2)/$X167</f>
        <v>-0.43942581835050065</v>
      </c>
      <c r="AC167">
        <f>-(U167*1000-coord!$C$2)/$X167</f>
        <v>-0.26559788571870008</v>
      </c>
      <c r="AD167">
        <f>-(V167*1000-coord!$D$2)/$X167</f>
        <v>-0.85811600770858421</v>
      </c>
      <c r="AE167">
        <v>1</v>
      </c>
      <c r="BD167">
        <f>SQRT(($T167*1000+coord!$B$7*$R167*$U167*1000-coord!$B$2-BA$162)^2+($U167*1000-coord!$B$7*$R167*$T167*1000-coord!$C$2-BA$163)^2+($V167*1000-coord!$D$2-BA$164)^2)</f>
        <v>20319598.98285697</v>
      </c>
      <c r="BE167" s="3">
        <f t="shared" si="99"/>
        <v>2.0913365128673291</v>
      </c>
      <c r="BG167" s="1"/>
      <c r="BH167" s="1"/>
      <c r="BI167" s="1"/>
      <c r="CG167" s="1"/>
      <c r="CH167" s="1"/>
      <c r="CI167" s="1"/>
    </row>
    <row r="168" spans="1:111">
      <c r="A168">
        <v>44</v>
      </c>
      <c r="B168">
        <f t="shared" si="94"/>
        <v>0.6166666666666667</v>
      </c>
      <c r="C168">
        <v>7</v>
      </c>
      <c r="D168">
        <f>tetto!D168*coord!$B$13-tetto!G168*coord!$B$14</f>
        <v>21516539.960703738</v>
      </c>
      <c r="E168" s="5">
        <f>90-DEGREES(ACOS((coord!$B$2*($T168*1000-coord!$B$2)+coord!$C$2*($U168*1000-coord!$C$2)+coord!$D$2*($V168*1000-coord!$D$2))/(SQRT(coord!$B$2^2+coord!$C$2^2+coord!$D$2^2)*SQRT(($T168*1000-coord!$B$2)^2+($U168*1000-coord!$C$2)^2+($V168*1000-coord!$D$2)^2))))</f>
        <v>48.9259945489976</v>
      </c>
      <c r="F168">
        <f>(coord!$C$2*($V168*1000-coord!$D$2)-coord!$D$2*($U168*1000-coord!$C$2))/(SQRT(coord!$B$2^2+coord!$C$2^2+coord!$D$2^2)*SQRT(($T168*1000-coord!$B$2)^2+($U168*1000-coord!$C$2)^2+($V168*1000-coord!$D$2)^2))</f>
        <v>-0.1738084092488591</v>
      </c>
      <c r="G168">
        <f>(-coord!$B$2*($V168*1000-coord!$D$2)+coord!$D$2*($T168*1000-coord!$B$2))/(SQRT(coord!$B$2^2+coord!$C$2^2+coord!$D$2^2)*SQRT(($T168*1000-coord!$B$2)^2+($U168*1000-coord!$C$2)^2+($V168*1000-coord!$D$2)^2))</f>
        <v>0.63240026026648188</v>
      </c>
      <c r="H168">
        <f>(coord!$B$2*($U168*1000-coord!$C$2)-coord!$C$2*($T168*1000-coord!$B$2))/(SQRT(coord!$B$2^2+coord!$C$2^2+coord!$D$2^2)*SQRT(($T168*1000-coord!$B$2)^2+($U168*1000-coord!$C$2)^2+($V168*1000-coord!$D$2)^2))</f>
        <v>3.94118842205958E-2</v>
      </c>
      <c r="I168">
        <f t="shared" si="95"/>
        <v>5.5952932816433334E-2</v>
      </c>
      <c r="J168">
        <f t="shared" si="96"/>
        <v>0.65464645710791403</v>
      </c>
      <c r="K168">
        <f t="shared" si="97"/>
        <v>1.8556359092859048E-4</v>
      </c>
      <c r="L168">
        <f t="shared" si="98"/>
        <v>175.11477621627546</v>
      </c>
      <c r="M168" s="5">
        <f>'sv07'!$AA$3+'sv07'!$Z$3*($B168)+'sv07'!$Y$3*($B168)^2+'sv07'!$X$3*($B168)^3+'sv07'!$W$3*($B168)^4+'sv07'!$V$3*($B168)^5+'sv07'!$U$3*($B168)^6+'sv07'!$T$3*($B168)^7+'sv07'!$S$3*($B168)^8</f>
        <v>25104.124638117544</v>
      </c>
      <c r="N168" s="5">
        <f>'sv07'!$AA$4+'sv07'!$Z$4*($B168)+'sv07'!$Y$4*($B168)^2+'sv07'!$X$4*($B168)^3+'sv07'!$W$4*($B168)^4+'sv07'!$V$4*($B168)^5+'sv07'!$U$4*($B168)^6+'sv07'!$T$4*($B168)^7+'sv07'!$S$4*($B168)^8</f>
        <v>6518.9286479323537</v>
      </c>
      <c r="O168" s="5">
        <f>'sv07'!$AA$5+'sv07'!$Z$5*($B168)+'sv07'!$Y$5*($B168)^2+'sv07'!$X$5*($B168)^3+'sv07'!$W$5*($B168)^4+'sv07'!$V$5*($B168)^5+'sv07'!$U$5*($B168)^6+'sv07'!$T$5*($B168)^7+'sv07'!$S$5*($B168)^8</f>
        <v>6111.1066182035065</v>
      </c>
      <c r="P168" s="5">
        <f>'sv07'!$AA$6+'sv07'!$Z$6*$B168+'sv07'!$Y$6*$B168^2+'sv07'!$X$6*$B168^3+'sv07'!$W$6*$B168^4+'sv07'!$V$6*$B168^5+'sv07'!$U$6*$B168^6+'sv07'!$T$6*$B168^7+'sv07'!$S$6*$B168^8</f>
        <v>-0.63805558990932398</v>
      </c>
      <c r="R168">
        <f>SQRT(($M168*1000-coord!$B$2)^2+($N168*1000-coord!$C$2)^2+($O168*1000-coord!$D$2)^2)/coord!$B$6</f>
        <v>7.1770655092936342E-2</v>
      </c>
      <c r="T168" s="5">
        <f>'sv07'!$AA$3+'sv07'!$Z$3*($B168-$R168/3600)+'sv07'!$Y$3*($B168-$R168/3600)^2+'sv07'!$X$3*($B168-$R168/3600)^3+'sv07'!$W$3*($B168-$R168/3600)^4+'sv07'!$V$3*($B168-$R168/3600)^5+'sv07'!$U$3*($B168-$R168/3600)^6+'sv07'!$T$3*($B168-$R168/3600)^7+'sv07'!$S$3*($B168-$R168/3600)^8+N168*coord!$B$7*R168</f>
        <v>25104.215480410574</v>
      </c>
      <c r="U168" s="5">
        <f>'sv07'!$AA$4+'sv07'!$Z$4*($B168-$R168/3600)+'sv07'!$Y$4*($B168-$R168/3600)^2+'sv07'!$X$4*($B168-$R168/3600)^3+'sv07'!$W$4*($B168-$R168/3600)^4+'sv07'!$V$4*($B168-$R168/3600)^5+'sv07'!$U$4*($B168-$R168/3600)^6+'sv07'!$T$4*($B168-$R168/3600)^7+'sv07'!$S$4*($B168-$R168/3600)^8-M168*coord!$B$7*R168</f>
        <v>6518.7863653664399</v>
      </c>
      <c r="V168" s="5">
        <f>'sv07'!$AA$5+'sv07'!$Z$5*($B168-$R168/3600)+'sv07'!$Y$5*($B168-$R168/3600)^2+'sv07'!$X$5*($B168-$R168/3600)^3+'sv07'!$W$5*($B168-$R168/3600)^4+'sv07'!$V$5*($B168-$R168/3600)^5+'sv07'!$U$5*($B168-$R168/3600)^6+'sv07'!$T$5*($B168-$R168/3600)^7+'sv07'!$S$5*($B168-$R168/3600)^8</f>
        <v>6110.8868244760615</v>
      </c>
      <c r="W168">
        <f>coord!$B$6*P168/10^6</f>
        <v>-191.28425363955623</v>
      </c>
      <c r="X168">
        <f>SQRT(($T168*1000+coord!$B$7*$R168*$U168*1000-coord!$B$2)^2+($U168*1000-coord!$B$7*$R168*$T168*1000-coord!$C$2)^2+($V168*1000-coord!$D$2)^2)</f>
        <v>21516333.999642514</v>
      </c>
      <c r="Y168" s="3">
        <f>$D168-(X168-$W168)-coord!$E$2</f>
        <v>14.676807586103678</v>
      </c>
      <c r="Z168" s="3" t="s">
        <v>127</v>
      </c>
      <c r="AA168" s="1" t="s">
        <v>128</v>
      </c>
      <c r="AB168">
        <f>-(T168*1000-coord!$B$2)/$X168</f>
        <v>-0.96277262241582373</v>
      </c>
      <c r="AC168">
        <f>-(U168*1000-coord!$C$2)/$X168</f>
        <v>-0.2599985737467817</v>
      </c>
      <c r="AD168">
        <f>-(V168*1000-coord!$D$2)/$X168</f>
        <v>-7.3957698844166503E-2</v>
      </c>
      <c r="AE168">
        <v>1</v>
      </c>
      <c r="BD168">
        <f>SQRT(($T168*1000+coord!$B$7*$R168*$U168*1000-coord!$B$2-BA$162)^2+($U168*1000-coord!$B$7*$R168*$T168*1000-coord!$C$2-BA$163)^2+($V168*1000-coord!$D$2-BA$164)^2)</f>
        <v>21516341.500214424</v>
      </c>
      <c r="BE168" s="3">
        <f t="shared" si="99"/>
        <v>-4.311513343896749</v>
      </c>
      <c r="BF168" s="3" t="s">
        <v>127</v>
      </c>
      <c r="BG168" s="1" t="s">
        <v>128</v>
      </c>
      <c r="BH168" s="1"/>
      <c r="BI168" s="1"/>
      <c r="CG168" s="1"/>
      <c r="CH168" s="1"/>
      <c r="CI168" s="1"/>
    </row>
    <row r="169" spans="1:111">
      <c r="Y169" s="3"/>
      <c r="Z169" s="3">
        <f>AVERAGE($Y162:$Y168)</f>
        <v>-4.3685049270944933</v>
      </c>
      <c r="AA169" s="1">
        <f>SQRT(DEVSQ($Y162:$Y168)/6)</f>
        <v>50.053249551808861</v>
      </c>
      <c r="BE169" s="3"/>
      <c r="BF169" s="3">
        <f>AVERAGE($BE162:$BE168)</f>
        <v>1.663972048565451E-4</v>
      </c>
      <c r="BG169" s="1">
        <f>SQRT(DEVSQ($BE162:$BE168)/6)</f>
        <v>3.55064921042979</v>
      </c>
      <c r="BH169" s="1"/>
      <c r="BI169" s="1"/>
      <c r="CG169" s="1"/>
      <c r="CH169" s="1"/>
      <c r="CI169" s="1"/>
    </row>
    <row r="170" spans="1:111">
      <c r="A170">
        <v>46</v>
      </c>
      <c r="B170">
        <f t="shared" ref="B170:B176" si="100">(60-45)/60+30*A170/3600</f>
        <v>0.6333333333333333</v>
      </c>
      <c r="C170">
        <v>2</v>
      </c>
      <c r="D170">
        <f>tetto!D170*coord!$B$13-tetto!G170*coord!$B$14</f>
        <v>22339170.220905967</v>
      </c>
      <c r="E170" s="5">
        <f>90-DEGREES(ACOS((coord!$B$2*($T170*1000-coord!$B$2)+coord!$C$2*($U170*1000-coord!$C$2)+coord!$D$2*($V170*1000-coord!$D$2))/(SQRT(coord!$B$2^2+coord!$C$2^2+coord!$D$2^2)*SQRT(($T170*1000-coord!$B$2)^2+($U170*1000-coord!$C$2)^2+($V170*1000-coord!$D$2)^2))))</f>
        <v>33.394382443014251</v>
      </c>
      <c r="F170">
        <f>(coord!$C$2*($V170*1000-coord!$D$2)-coord!$D$2*($U170*1000-coord!$C$2))/(SQRT(coord!$B$2^2+coord!$C$2^2+coord!$D$2^2)*SQRT(($T170*1000-coord!$B$2)^2+($U170*1000-coord!$C$2)^2+($V170*1000-coord!$D$2)^2))</f>
        <v>0.58224540217352716</v>
      </c>
      <c r="G170">
        <f>(-coord!$B$2*($V170*1000-coord!$D$2)+coord!$D$2*($T170*1000-coord!$B$2))/(SQRT(coord!$B$2^2+coord!$C$2^2+coord!$D$2^2)*SQRT(($T170*1000-coord!$B$2)^2+($U170*1000-coord!$C$2)^2+($V170*1000-coord!$D$2)^2))</f>
        <v>-0.33271931156434686</v>
      </c>
      <c r="H170">
        <f>(coord!$B$2*($U170*1000-coord!$C$2)-coord!$C$2*($T170*1000-coord!$B$2))/(SQRT(coord!$B$2^2+coord!$C$2^2+coord!$D$2^2)*SQRT(($T170*1000-coord!$B$2)^2+($U170*1000-coord!$C$2)^2+($V170*1000-coord!$D$2)^2))</f>
        <v>-0.49734215472700211</v>
      </c>
      <c r="I170">
        <f t="shared" ref="I170:I176" si="101">$F170*$CA$2+$G170*$CB$2+$H170*$CC$2</f>
        <v>-0.70604656623794393</v>
      </c>
      <c r="J170">
        <f t="shared" ref="J170:J176" si="102">$F170*$CA$3+$G170*$CB$3+$H170*$CC$3</f>
        <v>-0.44559364644422012</v>
      </c>
      <c r="K170">
        <f t="shared" ref="K170:K176" si="103">$F170*$CA$4+$G170*$CB$4+$H170*$CC$4</f>
        <v>-2.3698229289839667E-3</v>
      </c>
      <c r="L170">
        <f t="shared" ref="L170:L176" si="104">90+DEGREES(ATAN2(I170,J170))</f>
        <v>-57.743532179508776</v>
      </c>
      <c r="M170" s="5">
        <f>'sv02'!$AA$3+'sv02'!$Z$3*($B170)+'sv02'!$Y$3*($B170)^2+'sv02'!$X$3*($B170)^3+'sv02'!$W$3*($B170)^4+'sv02'!$V$3*($B170)^5+'sv02'!$U$3*($B170)^6+'sv02'!$T$3*($B170)^7+'sv02'!$S$3*($B170)^8</f>
        <v>9218.2435846338085</v>
      </c>
      <c r="N170" s="5">
        <f>'sv02'!$AA$4+'sv02'!$Z$4*($B170)+'sv02'!$Y$4*($B170)^2+'sv02'!$X$4*($B170)^3+'sv02'!$W$4*($B170)^4+'sv02'!$V$4*($B170)^5+'sv02'!$U$4*($B170)^6+'sv02'!$T$4*($B170)^7+'sv02'!$S$4*($B170)^8</f>
        <v>-14232.519420365845</v>
      </c>
      <c r="O170" s="5">
        <f>'sv02'!$AA$5+'sv02'!$Z$5*($B170)+'sv02'!$Y$5*($B170)^2+'sv02'!$X$5*($B170)^3+'sv02'!$W$5*($B170)^4+'sv02'!$V$5*($B170)^5+'sv02'!$U$5*($B170)^6+'sv02'!$T$5*($B170)^7+'sv02'!$S$5*($B170)^8</f>
        <v>20313.064736318251</v>
      </c>
      <c r="P170" s="5">
        <f>'sv02'!$AA$6+'sv02'!$Z$6*$B170+'sv02'!$Y$6*$B170^2+'sv02'!$X$6*$B170^3+'sv02'!$W$6*$B170^4+'sv02'!$V$6*$B170^5+'sv02'!$U$6*$B170^6+'sv02'!$T$6*$B170^7+'sv02'!$S$6*$B170^8</f>
        <v>257.59423228725467</v>
      </c>
      <c r="R170">
        <f>SQRT(($M170*1000-coord!$B$2)^2+($N170*1000-coord!$C$2)^2+($O170*1000-coord!$D$2)^2)/coord!$B$6</f>
        <v>7.4772990875741199E-2</v>
      </c>
      <c r="T170" s="5">
        <f>'sv02'!$AA$3+'sv02'!$Z$3*($B170-$R170/3600)+'sv02'!$Y$3*($B170-$R170/3600)^2+'sv02'!$X$3*($B170-$R170/3600)^3+'sv02'!$W$3*($B170-$R170/3600)^4+'sv02'!$V$3*($B170-$R170/3600)^5+'sv02'!$U$3*($B170-$R170/3600)^6+'sv02'!$T$3*($B170-$R170/3600)^7+'sv02'!$S$3*($B170-$R170/3600)^8+N170*coord!$B$7*R170</f>
        <v>9217.9724373160952</v>
      </c>
      <c r="U170" s="5">
        <f>'sv02'!$AA$4+'sv02'!$Z$4*($B170-$R170/3600)+'sv02'!$Y$4*($B170-$R170/3600)^2+'sv02'!$X$4*($B170-$R170/3600)^3+'sv02'!$W$4*($B170-$R170/3600)^4+'sv02'!$V$4*($B170-$R170/3600)^5+'sv02'!$U$4*($B170-$R170/3600)^6+'sv02'!$T$4*($B170-$R170/3600)^7+'sv02'!$S$4*($B170-$R170/3600)^8-M170*coord!$B$7*R170</f>
        <v>-14232.592975805412</v>
      </c>
      <c r="V170" s="5">
        <f>'sv02'!$AA$5+'sv02'!$Z$5*($B170-$R170/3600)+'sv02'!$Y$5*($B170-$R170/3600)^2+'sv02'!$X$5*($B170-$R170/3600)^3+'sv02'!$W$5*($B170-$R170/3600)^4+'sv02'!$V$5*($B170-$R170/3600)^5+'sv02'!$U$5*($B170-$R170/3600)^6+'sv02'!$T$5*($B170-$R170/3600)^7+'sv02'!$S$5*($B170-$R170/3600)^8</f>
        <v>20313.139575350448</v>
      </c>
      <c r="W170">
        <f>coord!$B$6*P170/10^6</f>
        <v>77224.808064019046</v>
      </c>
      <c r="X170">
        <f>SQRT(($T170*1000+coord!$B$7*$R170*$U170*1000-coord!$B$2)^2+($U170*1000-coord!$B$7*$R170*$T170*1000-coord!$C$2)^2+($V170*1000-coord!$D$2)^2)</f>
        <v>22416440.043121513</v>
      </c>
      <c r="Y170" s="3">
        <f>$D170-(X170-$W170)-coord!$E$2</f>
        <v>-45.014151528477669</v>
      </c>
      <c r="Z170" s="3"/>
      <c r="AB170">
        <f>-(T170*1000-coord!$B$2)/$X170</f>
        <v>-0.21542645742261396</v>
      </c>
      <c r="AC170">
        <f>-(U170*1000-coord!$C$2)/$X170</f>
        <v>0.67616281442763648</v>
      </c>
      <c r="AD170">
        <f>-(V170*1000-coord!$D$2)/$X170</f>
        <v>-0.70455216219297501</v>
      </c>
      <c r="AE170">
        <v>1</v>
      </c>
      <c r="AG170">
        <f t="array" ref="AG170:AM173">TRANSPOSE(AB170:AE176)</f>
        <v>-0.21542645742261396</v>
      </c>
      <c r="AH170">
        <v>-0.14218532334909761</v>
      </c>
      <c r="AI170">
        <v>-0.18875946446647976</v>
      </c>
      <c r="AJ170">
        <v>-0.86602745143052307</v>
      </c>
      <c r="AK170">
        <v>-0.41589970320382569</v>
      </c>
      <c r="AL170">
        <v>-0.43402507927398315</v>
      </c>
      <c r="AM170">
        <v>-0.9618578605285194</v>
      </c>
      <c r="AO170">
        <f t="array" ref="AO170:AR173">MMULT(AG170:AM173,AB170:AE176)</f>
        <v>2.1387797832147823</v>
      </c>
      <c r="AP170">
        <v>0.2440219423476028</v>
      </c>
      <c r="AQ170">
        <v>1.1216908871502735</v>
      </c>
      <c r="AR170">
        <v>-3.2241813396750425</v>
      </c>
      <c r="AT170">
        <f t="array" ref="AT170:AW173">MINVERSE(AO170:AR173)</f>
        <v>2.6354470891395496</v>
      </c>
      <c r="AU170">
        <v>0.27704322804172626</v>
      </c>
      <c r="AV170">
        <v>1.7080133583970898</v>
      </c>
      <c r="AW170">
        <v>2.0532680709941338</v>
      </c>
      <c r="AY170">
        <f t="array" ref="AY170:AY173">MMULT(AG170:AM173,Y170:Y176)</f>
        <v>1.5996835843805455</v>
      </c>
      <c r="BA170">
        <f t="array" ref="BA170:BA173">MMULT(AT170:AW173,AY170:AY173)</f>
        <v>11.456156036470865</v>
      </c>
      <c r="BD170">
        <f>SQRT(($T170*1000+coord!$B$7*$R170*$U170*1000-coord!$B$2-BA$170)^2+($U170*1000-coord!$B$7*$R170*$T170*1000-coord!$C$2-BA$171)^2+($V170*1000-coord!$D$2-BA$172)^2)</f>
        <v>22416388.684923545</v>
      </c>
      <c r="BE170" s="3">
        <f>$D170-(BD170-$W170)-BA$173</f>
        <v>-4.7376996003889786</v>
      </c>
      <c r="BG170" s="1">
        <f>coord!$B$2+$BA170</f>
        <v>4388889.6269560372</v>
      </c>
      <c r="BH170" s="1">
        <f>coord!$C$2+$BA171</f>
        <v>924520.98305397306</v>
      </c>
      <c r="BI170" s="1">
        <f>coord!$D$2+$BA172</f>
        <v>4519610.419691029</v>
      </c>
      <c r="BJ170" s="1">
        <f>coord!$E$2+$BA173</f>
        <v>11.081746040364479</v>
      </c>
      <c r="BK170" s="8">
        <f>lat($BG170,$BH170,$BI170)</f>
        <v>45.411304348577318</v>
      </c>
      <c r="BL170" s="8">
        <f>lon($BG170,$BH170,$BI170)</f>
        <v>11.895460986091035</v>
      </c>
      <c r="BM170" s="6">
        <f>h($BG170,$BH170,$BI170)</f>
        <v>78.638011453673244</v>
      </c>
      <c r="BO170">
        <f>grado($BK170)</f>
        <v>45</v>
      </c>
      <c r="BP170">
        <f>MINUTOprimo($BK170)</f>
        <v>24</v>
      </c>
      <c r="BQ170">
        <f>MINUTOsecondo($BK170)</f>
        <v>40.695654878343248</v>
      </c>
      <c r="BR170">
        <f>grado($BL170)</f>
        <v>11</v>
      </c>
      <c r="BS170">
        <f>MINUTOprimo($BL170)</f>
        <v>53</v>
      </c>
      <c r="BT170">
        <f>MINUTOsecondo($BL170)</f>
        <v>43.659549927724299</v>
      </c>
      <c r="BV170">
        <f>-SIN(RADIANS(BK170))*COS(RADIANS(BL170))</f>
        <v>-0.69687105779019176</v>
      </c>
      <c r="BW170">
        <f>-SIN(RADIANS(BL170))</f>
        <v>-0.20612666654619441</v>
      </c>
      <c r="BX170">
        <f>COS(RADIANS(BK170))*COS(RADIANS(BL170))</f>
        <v>0.68693706127485454</v>
      </c>
      <c r="BZ170" t="s">
        <v>93</v>
      </c>
      <c r="CA170">
        <f t="array" ref="CA170:CC172">MINVERSE(BV170:BX172)</f>
        <v>-0.69687105779019176</v>
      </c>
      <c r="CB170">
        <v>-0.14679610793877457</v>
      </c>
      <c r="CC170">
        <v>0.70201255794209749</v>
      </c>
      <c r="CD170">
        <v>0</v>
      </c>
      <c r="CE170" s="1">
        <f t="array" ref="CE170:CE172">MMULT(CA170:CC172,BA170:BA172)</f>
        <v>14.789672857898044</v>
      </c>
      <c r="CG170" s="1">
        <f t="array" ref="CG170:CI170">TRANSPOSE(CE170:CE172)</f>
        <v>14.789672857898044</v>
      </c>
      <c r="CH170" s="1">
        <v>-50.534363535639258</v>
      </c>
      <c r="CI170" s="1">
        <v>16.517046092451984</v>
      </c>
      <c r="CK170">
        <f t="array" ref="CK170:CN173">MMULT(CA170:CD173,AT170:AW173)</f>
        <v>-0.6781888416384656</v>
      </c>
      <c r="CL170">
        <v>0.10016764552235513</v>
      </c>
      <c r="CM170">
        <v>0.59967453519537428</v>
      </c>
      <c r="CN170">
        <v>-1.7534051328585987E-2</v>
      </c>
      <c r="CP170">
        <f t="array" ref="CP170:CS173">TRANSPOSE(CA170:CD173)</f>
        <v>-0.69687105779019176</v>
      </c>
      <c r="CQ170">
        <v>-0.20612666654619441</v>
      </c>
      <c r="CR170">
        <v>0.68693706127485454</v>
      </c>
      <c r="CS170">
        <v>0</v>
      </c>
      <c r="CU170" s="5">
        <f t="array" ref="CU170:CX173">MMULT(CK170:CN173,CP170:CS173)</f>
        <v>0.87888500933527292</v>
      </c>
      <c r="CV170" s="5">
        <v>0.23780938237166988</v>
      </c>
      <c r="CW170" s="5">
        <v>-2.4311485268208088E-2</v>
      </c>
      <c r="CX170" s="5">
        <v>-1.7534051328585987E-2</v>
      </c>
      <c r="CZ170" s="3">
        <f>SQRT(CU170+CV171)</f>
        <v>1.1717573848076694</v>
      </c>
      <c r="DA170" s="3">
        <f>CW172</f>
        <v>4.4378881828083898</v>
      </c>
      <c r="DB170" s="3">
        <f>CX173</f>
        <v>2.1226710465186844</v>
      </c>
      <c r="DC170" s="3">
        <f>BE177</f>
        <v>0</v>
      </c>
      <c r="DD170">
        <v>6</v>
      </c>
      <c r="DE170" s="6">
        <f>DB170*DD170*DC170</f>
        <v>0</v>
      </c>
      <c r="DF170">
        <v>5.33</v>
      </c>
      <c r="DG170" s="6">
        <f>DC170*DF170*SQRT(0.5*(CU170+CV171)+SQRT((0.5*(CU170-CV171))^2+CV170^2))</f>
        <v>0</v>
      </c>
    </row>
    <row r="171" spans="1:111">
      <c r="A171">
        <v>46</v>
      </c>
      <c r="B171">
        <f t="shared" si="100"/>
        <v>0.6333333333333333</v>
      </c>
      <c r="C171">
        <v>23</v>
      </c>
      <c r="D171">
        <f>tetto!D171*coord!$B$13-tetto!G171*coord!$B$14</f>
        <v>21358890.784769855</v>
      </c>
      <c r="E171" s="5">
        <f>90-DEGREES(ACOS((coord!$B$2*($T171*1000-coord!$B$2)+coord!$C$2*($U171*1000-coord!$C$2)+coord!$D$2*($V171*1000-coord!$D$2))/(SQRT(coord!$B$2^2+coord!$C$2^2+coord!$D$2^2)*SQRT(($T171*1000-coord!$B$2)^2+($U171*1000-coord!$C$2)^2+($V171*1000-coord!$D$2)^2))))</f>
        <v>47.04765613596777</v>
      </c>
      <c r="F171">
        <f>(coord!$C$2*($V171*1000-coord!$D$2)-coord!$D$2*($U171*1000-coord!$C$2))/(SQRT(coord!$B$2^2+coord!$C$2^2+coord!$D$2^2)*SQRT(($T171*1000-coord!$B$2)^2+($U171*1000-coord!$C$2)^2+($V171*1000-coord!$D$2)^2))</f>
        <v>-0.3353217428398132</v>
      </c>
      <c r="G171">
        <f>(-coord!$B$2*($V171*1000-coord!$D$2)+coord!$D$2*($T171*1000-coord!$B$2))/(SQRT(coord!$B$2^2+coord!$C$2^2+coord!$D$2^2)*SQRT(($T171*1000-coord!$B$2)^2+($U171*1000-coord!$C$2)^2+($V171*1000-coord!$D$2)^2))</f>
        <v>-0.42599592261777192</v>
      </c>
      <c r="H171">
        <f>(coord!$B$2*($U171*1000-coord!$C$2)-coord!$C$2*($T171*1000-coord!$B$2))/(SQRT(coord!$B$2^2+coord!$C$2^2+coord!$D$2^2)*SQRT(($T171*1000-coord!$B$2)^2+($U171*1000-coord!$C$2)^2+($V171*1000-coord!$D$2)^2))</f>
        <v>0.41276977129741982</v>
      </c>
      <c r="I171">
        <f t="shared" si="101"/>
        <v>0.58598164582301993</v>
      </c>
      <c r="J171">
        <f t="shared" si="102"/>
        <v>-0.34772649241829157</v>
      </c>
      <c r="K171">
        <f t="shared" si="103"/>
        <v>1.9694247986526969E-3</v>
      </c>
      <c r="L171">
        <f t="shared" si="104"/>
        <v>59.314745906875096</v>
      </c>
      <c r="M171" s="5">
        <f>'sv23'!$AA$3+'sv23'!$Z$3*($B171)+'sv23'!$Y$3*($B171)^2+'sv23'!$X$3*($B171)^3+'sv23'!$W$3*($B171)^4+'sv23'!$V$3*($B171)^5+'sv23'!$U$3*($B171)^6+'sv23'!$T$3*($B171)^7+'sv23'!$S$3*($B171)^8</f>
        <v>7441.3788470471954</v>
      </c>
      <c r="N171" s="5">
        <f>'sv23'!$AA$4+'sv23'!$Z$4*($B171)+'sv23'!$Y$4*($B171)^2+'sv23'!$X$4*($B171)^3+'sv23'!$W$4*($B171)^4+'sv23'!$V$4*($B171)^5+'sv23'!$U$4*($B171)^6+'sv23'!$T$4*($B171)^7+'sv23'!$S$4*($B171)^8</f>
        <v>14425.001320307676</v>
      </c>
      <c r="O171" s="5">
        <f>'sv23'!$AA$5+'sv23'!$Z$5*($B171)+'sv23'!$Y$5*($B171)^2+'sv23'!$X$5*($B171)^3+'sv23'!$W$5*($B171)^4+'sv23'!$V$5*($B171)^5+'sv23'!$U$5*($B171)^6+'sv23'!$T$5*($B171)^7+'sv23'!$S$5*($B171)^8</f>
        <v>20932.25793359409</v>
      </c>
      <c r="P171" s="5">
        <f>'sv23'!$AA$6+'sv23'!$Z$6*$B171+'sv23'!$Y$6*$B171^2+'sv23'!$X$6*$B171^3+'sv23'!$W$6*$B171^4+'sv23'!$V$6*$B171^5+'sv23'!$U$6*$B171^6+'sv23'!$T$6*$B171^7+'sv23'!$S$6*$B171^8</f>
        <v>370.05569368412557</v>
      </c>
      <c r="R171">
        <f>SQRT(($M171*1000-coord!$B$2)^2+($N171*1000-coord!$C$2)^2+($O171*1000-coord!$D$2)^2)/coord!$B$6</f>
        <v>7.1615762689584556E-2</v>
      </c>
      <c r="T171" s="5">
        <f>'sv23'!$AA$3+'sv23'!$Z$3*($B171-$R171/3600)+'sv23'!$Y$3*($B171-$R171/3600)^2+'sv23'!$X$3*($B171-$R171/3600)^3+'sv23'!$W$3*($B171-$R171/3600)^4+'sv23'!$V$3*($B171-$R171/3600)^5+'sv23'!$U$3*($B171-$R171/3600)^6+'sv23'!$T$3*($B171-$R171/3600)^7+'sv23'!$S$3*($B171-$R171/3600)^8+N171*coord!$B$7*R171</f>
        <v>7441.5699311384178</v>
      </c>
      <c r="U171" s="5">
        <f>'sv23'!$AA$4+'sv23'!$Z$4*($B171-$R171/3600)+'sv23'!$Y$4*($B171-$R171/3600)^2+'sv23'!$X$4*($B171-$R171/3600)^3+'sv23'!$W$4*($B171-$R171/3600)^4+'sv23'!$V$4*($B171-$R171/3600)^5+'sv23'!$U$4*($B171-$R171/3600)^6+'sv23'!$T$4*($B171-$R171/3600)^7+'sv23'!$S$4*($B171-$R171/3600)^8-M171*coord!$B$7*R171</f>
        <v>14424.810196093955</v>
      </c>
      <c r="V171" s="5">
        <f>'sv23'!$AA$5+'sv23'!$Z$5*($B171-$R171/3600)+'sv23'!$Y$5*($B171-$R171/3600)^2+'sv23'!$X$5*($B171-$R171/3600)^3+'sv23'!$W$5*($B171-$R171/3600)^4+'sv23'!$V$5*($B171-$R171/3600)^5+'sv23'!$U$5*($B171-$R171/3600)^6+'sv23'!$T$5*($B171-$R171/3600)^7+'sv23'!$S$5*($B171-$R171/3600)^8</f>
        <v>20932.323846503965</v>
      </c>
      <c r="W171">
        <f>coord!$B$6*P171/10^6</f>
        <v>110939.90600645907</v>
      </c>
      <c r="X171">
        <f>SQRT(($T171*1000+coord!$B$7*$R171*$U171*1000-coord!$B$2)^2+($U171*1000-coord!$B$7*$R171*$T171*1000-coord!$C$2)^2+($V171*1000-coord!$D$2)^2)</f>
        <v>21469809.178851448</v>
      </c>
      <c r="Y171" s="3">
        <f>$D171-(X171-$W171)-coord!$E$2</f>
        <v>21.511924866586924</v>
      </c>
      <c r="Z171" s="3"/>
      <c r="AB171">
        <f>-(T171*1000-coord!$B$2)/$X171</f>
        <v>-0.14218532334909761</v>
      </c>
      <c r="AC171">
        <f>-(U171*1000-coord!$C$2)/$X171</f>
        <v>-0.62880111650885973</v>
      </c>
      <c r="AD171">
        <f>-(V171*1000-coord!$D$2)/$X171</f>
        <v>-0.76445651824288752</v>
      </c>
      <c r="AE171">
        <v>1</v>
      </c>
      <c r="AG171">
        <v>0.67616281442763648</v>
      </c>
      <c r="AH171">
        <v>-0.62880111650885973</v>
      </c>
      <c r="AI171">
        <v>0.71199217813534499</v>
      </c>
      <c r="AJ171">
        <v>0.36020198328516934</v>
      </c>
      <c r="AK171">
        <v>-0.90826537454875067</v>
      </c>
      <c r="AL171">
        <v>-0.2719598407644267</v>
      </c>
      <c r="AM171">
        <v>-0.26078113929568264</v>
      </c>
      <c r="AO171">
        <v>0.2440219423476028</v>
      </c>
      <c r="AP171">
        <v>2.4561802744311225</v>
      </c>
      <c r="AQ171">
        <v>-0.38849285804617006</v>
      </c>
      <c r="AR171">
        <v>-0.32145049526956887</v>
      </c>
      <c r="AT171">
        <v>0.2770432280417261</v>
      </c>
      <c r="AU171">
        <v>0.51583100985367314</v>
      </c>
      <c r="AV171">
        <v>0.525564725770163</v>
      </c>
      <c r="AW171">
        <v>0.40566257473460621</v>
      </c>
      <c r="AY171">
        <v>-130.28811913764179</v>
      </c>
      <c r="BA171">
        <v>-49.230146026959744</v>
      </c>
      <c r="BD171">
        <f>SQRT(($T171*1000+coord!$B$7*$R171*$U171*1000-coord!$B$2-BA$170)^2+($U171*1000-coord!$B$7*$R171*$T171*1000-coord!$C$2-BA$171)^2+($V171*1000-coord!$D$2-BA$172)^2)</f>
        <v>21469821.576674499</v>
      </c>
      <c r="BE171" s="3">
        <f t="shared" ref="BE171:BE176" si="105">$D171-(BD171-$W171)-BA$173</f>
        <v>-1.9676442243957268</v>
      </c>
      <c r="BG171" s="1"/>
      <c r="BH171" s="1"/>
      <c r="BI171" s="1"/>
      <c r="BV171">
        <f>-SIN(RADIANS(BK170))*SIN(RADIANS(BL170))</f>
        <v>-0.14679610793877457</v>
      </c>
      <c r="BW171">
        <f>COS(RADIANS(BL170))</f>
        <v>0.97852531767888051</v>
      </c>
      <c r="BX171">
        <f>COS(RADIANS(BK170))*SIN(RADIANS(BL170))</f>
        <v>0.14470350844217172</v>
      </c>
      <c r="BZ171" t="s">
        <v>94</v>
      </c>
      <c r="CA171">
        <v>-0.20612666654619441</v>
      </c>
      <c r="CB171">
        <v>0.9785253176788804</v>
      </c>
      <c r="CC171">
        <v>0</v>
      </c>
      <c r="CD171">
        <v>0</v>
      </c>
      <c r="CE171" s="1">
        <v>-50.534363535639258</v>
      </c>
      <c r="CG171" s="1"/>
      <c r="CH171" s="1"/>
      <c r="CI171" s="1"/>
      <c r="CK171">
        <v>-0.27214211061289406</v>
      </c>
      <c r="CL171">
        <v>0.44764770570024504</v>
      </c>
      <c r="CM171">
        <v>0.1622112902622998</v>
      </c>
      <c r="CN171">
        <v>-2.6282203187142528E-2</v>
      </c>
      <c r="CP171">
        <v>-0.14679610793877457</v>
      </c>
      <c r="CQ171">
        <v>0.9785253176788804</v>
      </c>
      <c r="CR171">
        <v>0.14470350844217172</v>
      </c>
      <c r="CS171">
        <v>0</v>
      </c>
      <c r="CU171" s="5">
        <v>0.23780938237167004</v>
      </c>
      <c r="CV171" s="5">
        <v>0.49413035951603579</v>
      </c>
      <c r="CW171" s="5">
        <v>-6.6471750881062497E-3</v>
      </c>
      <c r="CX171" s="5">
        <v>-2.6282203187142528E-2</v>
      </c>
    </row>
    <row r="172" spans="1:111">
      <c r="A172">
        <v>46</v>
      </c>
      <c r="B172">
        <f t="shared" si="100"/>
        <v>0.6333333333333333</v>
      </c>
      <c r="C172">
        <v>10</v>
      </c>
      <c r="D172">
        <f>tetto!D172*coord!$B$13-tetto!G172*coord!$B$14</f>
        <v>22552163.699913271</v>
      </c>
      <c r="E172" s="5">
        <f>90-DEGREES(ACOS((coord!$B$2*($T172*1000-coord!$B$2)+coord!$C$2*($U172*1000-coord!$C$2)+coord!$D$2*($V172*1000-coord!$D$2))/(SQRT(coord!$B$2^2+coord!$C$2^2+coord!$D$2^2)*SQRT(($T172*1000-coord!$B$2)^2+($U172*1000-coord!$C$2)^2+($V172*1000-coord!$D$2)^2))))</f>
        <v>30.450263343579891</v>
      </c>
      <c r="F172">
        <f>(coord!$C$2*($V172*1000-coord!$D$2)-coord!$D$2*($U172*1000-coord!$C$2))/(SQRT(coord!$B$2^2+coord!$C$2^2+coord!$D$2^2)*SQRT(($T172*1000-coord!$B$2)^2+($U172*1000-coord!$C$2)^2+($V172*1000-coord!$D$2)^2))</f>
        <v>0.60358061628558501</v>
      </c>
      <c r="G172">
        <f>(-coord!$B$2*($V172*1000-coord!$D$2)+coord!$D$2*($T172*1000-coord!$B$2))/(SQRT(coord!$B$2^2+coord!$C$2^2+coord!$D$2^2)*SQRT(($T172*1000-coord!$B$2)^2+($U172*1000-coord!$C$2)^2+($V172*1000-coord!$D$2)^2))</f>
        <v>-0.33220149578800778</v>
      </c>
      <c r="H172">
        <f>(coord!$B$2*($U172*1000-coord!$C$2)-coord!$C$2*($T172*1000-coord!$B$2))/(SQRT(coord!$B$2^2+coord!$C$2^2+coord!$D$2^2)*SQRT(($T172*1000-coord!$B$2)^2+($U172*1000-coord!$C$2)^2+($V172*1000-coord!$D$2)^2))</f>
        <v>-0.51816626675146726</v>
      </c>
      <c r="I172">
        <f t="shared" si="101"/>
        <v>-0.73560924414208229</v>
      </c>
      <c r="J172">
        <f t="shared" si="102"/>
        <v>-0.44948483581093052</v>
      </c>
      <c r="K172">
        <f t="shared" si="103"/>
        <v>-2.4691025423159707E-3</v>
      </c>
      <c r="L172">
        <f t="shared" si="104"/>
        <v>-58.573505151940793</v>
      </c>
      <c r="M172" s="5">
        <f>'sv10'!$AA$3+'sv10'!$Z$3*($B172)+'sv10'!$Y$3*($B172)^2+'sv10'!$X$3*($B172)^3+'sv10'!$W$3*($B172)^4+'sv10'!$V$3*($B172)^5+'sv10'!$U$3*($B172)^6+'sv10'!$T$3*($B172)^7+'sv10'!$S$3*($B172)^8</f>
        <v>8643.5568942772315</v>
      </c>
      <c r="N172" s="5">
        <f>'sv10'!$AA$4+'sv10'!$Z$4*($B172)+'sv10'!$Y$4*($B172)^2+'sv10'!$X$4*($B172)^3+'sv10'!$W$4*($B172)^4+'sv10'!$V$4*($B172)^5+'sv10'!$U$4*($B172)^6+'sv10'!$T$4*($B172)^7+'sv10'!$S$4*($B172)^8</f>
        <v>-15123.022925511024</v>
      </c>
      <c r="O172" s="5">
        <f>'sv10'!$AA$5+'sv10'!$Z$5*($B172)+'sv10'!$Y$5*($B172)^2+'sv10'!$X$5*($B172)^3+'sv10'!$W$5*($B172)^4+'sv10'!$V$5*($B172)^5+'sv10'!$U$5*($B172)^6+'sv10'!$T$5*($B172)^7+'sv10'!$S$5*($B172)^8</f>
        <v>19763.913464705442</v>
      </c>
      <c r="P172" s="5">
        <f>'sv10'!$AA$6+'sv10'!$Z$6*$B172+'sv10'!$Y$6*$B172^2+'sv10'!$X$6*$B172^3+'sv10'!$W$6*$B172^4+'sv10'!$V$6*$B172^5+'sv10'!$U$6*$B172^6+'sv10'!$T$6*$B172^7+'sv10'!$S$6*$B172^8</f>
        <v>-43.001907554850895</v>
      </c>
      <c r="R172">
        <f>SQRT(($M172*1000-coord!$B$2)^2+($N172*1000-coord!$C$2)^2+($O172*1000-coord!$D$2)^2)/coord!$B$6</f>
        <v>7.5182785873433133E-2</v>
      </c>
      <c r="T172" s="5">
        <f>'sv10'!$AA$3+'sv10'!$Z$3*($B172-$R172/3600)+'sv10'!$Y$3*($B172-$R172/3600)^2+'sv10'!$X$3*($B172-$R172/3600)^3+'sv10'!$W$3*($B172-$R172/3600)^4+'sv10'!$V$3*($B172-$R172/3600)^5+'sv10'!$U$3*($B172-$R172/3600)^6+'sv10'!$T$3*($B172-$R172/3600)^7+'sv10'!$S$3*($B172-$R172/3600)^8+N172*coord!$B$7*R172</f>
        <v>8643.3862601249257</v>
      </c>
      <c r="U172" s="5">
        <f>'sv10'!$AA$4+'sv10'!$Z$4*($B172-$R172/3600)+'sv10'!$Y$4*($B172-$R172/3600)^2+'sv10'!$X$4*($B172-$R172/3600)^3+'sv10'!$W$4*($B172-$R172/3600)^4+'sv10'!$V$4*($B172-$R172/3600)^5+'sv10'!$U$4*($B172-$R172/3600)^6+'sv10'!$T$4*($B172-$R172/3600)^7+'sv10'!$S$4*($B172-$R172/3600)^8-M172*coord!$B$7*R172</f>
        <v>-15123.242223515326</v>
      </c>
      <c r="V172" s="5">
        <f>'sv10'!$AA$5+'sv10'!$Z$5*($B172-$R172/3600)+'sv10'!$Y$5*($B172-$R172/3600)^2+'sv10'!$X$5*($B172-$R172/3600)^3+'sv10'!$W$5*($B172-$R172/3600)^4+'sv10'!$V$5*($B172-$R172/3600)^5+'sv10'!$U$5*($B172-$R172/3600)^6+'sv10'!$T$5*($B172-$R172/3600)^7+'sv10'!$S$5*($B172-$R172/3600)^8</f>
        <v>19763.818586069134</v>
      </c>
      <c r="W172">
        <f>coord!$B$6*P172/10^6</f>
        <v>-12891.647564557519</v>
      </c>
      <c r="X172">
        <f>SQRT(($T172*1000+coord!$B$7*$R172*$U172*1000-coord!$B$2)^2+($U172*1000-coord!$B$7*$R172*$T172*1000-coord!$C$2)^2+($V172*1000-coord!$D$2)^2)</f>
        <v>22539310.022679411</v>
      </c>
      <c r="Y172" s="3">
        <f>$D172-(X172-$W172)-coord!$E$2</f>
        <v>-37.970330696552992</v>
      </c>
      <c r="Z172" s="3"/>
      <c r="AB172">
        <f>-(T172*1000-coord!$B$2)/$X172</f>
        <v>-0.18875946446647976</v>
      </c>
      <c r="AC172">
        <f>-(U172*1000-coord!$C$2)/$X172</f>
        <v>0.71199217813534499</v>
      </c>
      <c r="AD172">
        <f>-(V172*1000-coord!$D$2)/$X172</f>
        <v>-0.67633970589295533</v>
      </c>
      <c r="AE172">
        <v>1</v>
      </c>
      <c r="AG172">
        <v>-0.70455216219297501</v>
      </c>
      <c r="AH172">
        <v>-0.76445651824288752</v>
      </c>
      <c r="AI172">
        <v>-0.67633970589295533</v>
      </c>
      <c r="AJ172">
        <v>-0.34677056677990292</v>
      </c>
      <c r="AK172">
        <v>4.5642068323725762E-2</v>
      </c>
      <c r="AL172">
        <v>-0.85887162079217205</v>
      </c>
      <c r="AM172">
        <v>-8.2600106850416952E-2</v>
      </c>
      <c r="AO172">
        <v>1.1216908871502735</v>
      </c>
      <c r="AP172">
        <v>-0.38849285804617006</v>
      </c>
      <c r="AQ172">
        <v>2.4050391783417999</v>
      </c>
      <c r="AR172">
        <v>-3.3879486124275835</v>
      </c>
      <c r="AT172">
        <v>1.7080133583970902</v>
      </c>
      <c r="AU172">
        <v>0.525564725770163</v>
      </c>
      <c r="AV172">
        <v>2.6596254526664755</v>
      </c>
      <c r="AW172">
        <v>2.0980803144847293</v>
      </c>
      <c r="AY172">
        <v>47.691972884776888</v>
      </c>
      <c r="BA172">
        <v>22.145391029472215</v>
      </c>
      <c r="BD172">
        <f>SQRT(($T172*1000+coord!$B$7*$R172*$U172*1000-coord!$B$2-BA$170)^2+($U172*1000-coord!$B$7*$R172*$T172*1000-coord!$C$2-BA$171)^2+($V172*1000-coord!$D$2-BA$172)^2)</f>
        <v>22539257.830881145</v>
      </c>
      <c r="BE172" s="3">
        <f t="shared" si="105"/>
        <v>3.1397215291059268</v>
      </c>
      <c r="BG172" s="1"/>
      <c r="BH172" s="1"/>
      <c r="BI172" s="1"/>
      <c r="BV172">
        <f>COS(RADIANS(BK170))</f>
        <v>0.7020125579420976</v>
      </c>
      <c r="BW172">
        <v>0</v>
      </c>
      <c r="BX172">
        <f>SIN(RADIANS(BK170))</f>
        <v>0.7121645655967398</v>
      </c>
      <c r="BZ172" t="s">
        <v>95</v>
      </c>
      <c r="CA172">
        <v>0.68693706127485454</v>
      </c>
      <c r="CB172">
        <v>0.14470350844217172</v>
      </c>
      <c r="CC172">
        <v>0.7121645655967398</v>
      </c>
      <c r="CD172">
        <v>0</v>
      </c>
      <c r="CE172" s="1">
        <v>16.517046092451984</v>
      </c>
      <c r="CG172" s="1"/>
      <c r="CH172" s="1"/>
      <c r="CI172" s="1"/>
      <c r="CK172">
        <v>3.0668619970629667</v>
      </c>
      <c r="CL172">
        <v>0.63924239242725556</v>
      </c>
      <c r="CM172">
        <v>3.1434397419161351</v>
      </c>
      <c r="CN172">
        <v>2.9633451882580704</v>
      </c>
      <c r="CP172">
        <v>0.70201255794209749</v>
      </c>
      <c r="CQ172">
        <v>0</v>
      </c>
      <c r="CR172">
        <v>0.7121645655967398</v>
      </c>
      <c r="CS172">
        <v>0</v>
      </c>
      <c r="CU172" s="5">
        <v>-2.4311485268208699E-2</v>
      </c>
      <c r="CV172" s="5">
        <v>-6.6471750881061942E-3</v>
      </c>
      <c r="CW172" s="5">
        <v>4.4378881828083898</v>
      </c>
      <c r="CX172" s="5">
        <v>2.9633451882580704</v>
      </c>
    </row>
    <row r="173" spans="1:111">
      <c r="A173">
        <v>46</v>
      </c>
      <c r="B173">
        <f t="shared" si="100"/>
        <v>0.6333333333333333</v>
      </c>
      <c r="C173">
        <v>4</v>
      </c>
      <c r="D173">
        <f>tetto!D173*coord!$B$13-tetto!G173*coord!$B$14</f>
        <v>21299870.797781456</v>
      </c>
      <c r="E173" s="5">
        <f>90-DEGREES(ACOS((coord!$B$2*($T173*1000-coord!$B$2)+coord!$C$2*($U173*1000-coord!$C$2)+coord!$D$2*($V173*1000-coord!$D$2))/(SQRT(coord!$B$2^2+coord!$C$2^2+coord!$D$2^2)*SQRT(($T173*1000-coord!$B$2)^2+($U173*1000-coord!$C$2)^2+($V173*1000-coord!$D$2)^2))))</f>
        <v>52.257124458263966</v>
      </c>
      <c r="F173">
        <f>(coord!$C$2*($V173*1000-coord!$D$2)-coord!$D$2*($U173*1000-coord!$C$2))/(SQRT(coord!$B$2^2+coord!$C$2^2+coord!$D$2^2)*SQRT(($T173*1000-coord!$B$2)^2+($U173*1000-coord!$C$2)^2+($V173*1000-coord!$D$2)^2))</f>
        <v>0.30602444896712527</v>
      </c>
      <c r="G173">
        <f>(-coord!$B$2*($V173*1000-coord!$D$2)+coord!$D$2*($T173*1000-coord!$B$2))/(SQRT(coord!$B$2^2+coord!$C$2^2+coord!$D$2^2)*SQRT(($T173*1000-coord!$B$2)^2+($U173*1000-coord!$C$2)^2+($V173*1000-coord!$D$2)^2))</f>
        <v>0.37568800541236941</v>
      </c>
      <c r="H173">
        <f>(coord!$B$2*($U173*1000-coord!$C$2)-coord!$C$2*($T173*1000-coord!$B$2))/(SQRT(coord!$B$2^2+coord!$C$2^2+coord!$D$2^2)*SQRT(($T173*1000-coord!$B$2)^2+($U173*1000-coord!$C$2)^2+($V173*1000-coord!$D$2)^2))</f>
        <v>-0.37402830976357732</v>
      </c>
      <c r="I173">
        <f t="shared" si="101"/>
        <v>-0.53098302179819123</v>
      </c>
      <c r="J173">
        <f t="shared" si="102"/>
        <v>0.3045381146153272</v>
      </c>
      <c r="K173">
        <f t="shared" si="103"/>
        <v>-1.7845418344997754E-3</v>
      </c>
      <c r="L173">
        <f t="shared" si="104"/>
        <v>240.16415767462311</v>
      </c>
      <c r="M173" s="5">
        <f>'sv04'!$AA$3+'sv04'!$Z$3*($B173)+'sv04'!$Y$3*($B173)^2+'sv04'!$X$3*($B173)^3+'sv04'!$W$3*($B173)^4+'sv04'!$V$3*($B173)^5+'sv04'!$U$3*($B173)^6+'sv04'!$T$3*($B173)^7+'sv04'!$S$3*($B173)^8</f>
        <v>22857.796410248986</v>
      </c>
      <c r="N173" s="5">
        <f>'sv04'!$AA$4+'sv04'!$Z$4*($B173)+'sv04'!$Y$4*($B173)^2+'sv04'!$X$4*($B173)^3+'sv04'!$W$4*($B173)^4+'sv04'!$V$4*($B173)^5+'sv04'!$U$4*($B173)^6+'sv04'!$T$4*($B173)^7+'sv04'!$S$4*($B173)^8</f>
        <v>-6756.8981419439506</v>
      </c>
      <c r="O173" s="5">
        <f>'sv04'!$AA$5+'sv04'!$Z$5*($B173)+'sv04'!$Y$5*($B173)^2+'sv04'!$X$5*($B173)^3+'sv04'!$W$5*($B173)^4+'sv04'!$V$5*($B173)^5+'sv04'!$U$5*($B173)^6+'sv04'!$T$5*($B173)^7+'sv04'!$S$5*($B173)^8</f>
        <v>11914.583800549384</v>
      </c>
      <c r="P173" s="5">
        <f>'sv04'!$AA$6+'sv04'!$Z$6*$B173+'sv04'!$Y$6*$B173^2+'sv04'!$X$6*$B173^3+'sv04'!$W$6*$B173^4+'sv04'!$V$6*$B173^5+'sv04'!$U$6*$B173^6+'sv04'!$T$6*$B173^7+'sv04'!$S$6*$B173^8</f>
        <v>86.606200403646042</v>
      </c>
      <c r="R173">
        <f>SQRT(($M173*1000-coord!$B$2)^2+($N173*1000-coord!$C$2)^2+($O173*1000-coord!$D$2)^2)/coord!$B$6</f>
        <v>7.1135376846904436E-2</v>
      </c>
      <c r="T173" s="5">
        <f>'sv04'!$AA$3+'sv04'!$Z$3*($B173-$R173/3600)+'sv04'!$Y$3*($B173-$R173/3600)^2+'sv04'!$X$3*($B173-$R173/3600)^3+'sv04'!$W$3*($B173-$R173/3600)^4+'sv04'!$V$3*($B173-$R173/3600)^5+'sv04'!$U$3*($B173-$R173/3600)^6+'sv04'!$T$3*($B173-$R173/3600)^7+'sv04'!$S$3*($B173-$R173/3600)^8+N173*coord!$B$7*R173</f>
        <v>22857.654546506335</v>
      </c>
      <c r="U173" s="5">
        <f>'sv04'!$AA$4+'sv04'!$Z$4*($B173-$R173/3600)+'sv04'!$Y$4*($B173-$R173/3600)^2+'sv04'!$X$4*($B173-$R173/3600)^3+'sv04'!$W$4*($B173-$R173/3600)^4+'sv04'!$V$4*($B173-$R173/3600)^5+'sv04'!$U$4*($B173-$R173/3600)^6+'sv04'!$T$4*($B173-$R173/3600)^7+'sv04'!$S$4*($B173-$R173/3600)^8-M173*coord!$B$7*R173</f>
        <v>-6757.045269532071</v>
      </c>
      <c r="V173" s="5">
        <f>'sv04'!$AA$5+'sv04'!$Z$5*($B173-$R173/3600)+'sv04'!$Y$5*($B173-$R173/3600)^2+'sv04'!$X$5*($B173-$R173/3600)^3+'sv04'!$W$5*($B173-$R173/3600)^4+'sv04'!$V$5*($B173-$R173/3600)^5+'sv04'!$U$5*($B173-$R173/3600)^6+'sv04'!$T$5*($B173-$R173/3600)^7+'sv04'!$S$5*($B173-$R173/3600)^8</f>
        <v>11914.767308123919</v>
      </c>
      <c r="W173">
        <f>coord!$B$6*P173/10^6</f>
        <v>25963.885697049642</v>
      </c>
      <c r="X173">
        <f>SQRT(($T173*1000+coord!$B$7*$R173*$U173*1000-coord!$B$2)^2+($U173*1000-coord!$B$7*$R173*$T173*1000-coord!$C$2)^2+($V173*1000-coord!$D$2)^2)</f>
        <v>21325855.600996487</v>
      </c>
      <c r="Y173" s="3">
        <f>$D173-(X173-$W173)-coord!$E$2</f>
        <v>-20.917517982423306</v>
      </c>
      <c r="Z173" s="3"/>
      <c r="AB173">
        <f>-(T173*1000-coord!$B$2)/$X173</f>
        <v>-0.86602745143052307</v>
      </c>
      <c r="AC173">
        <f>-(U173*1000-coord!$C$2)/$X173</f>
        <v>0.36020198328516934</v>
      </c>
      <c r="AD173">
        <f>-(V173*1000-coord!$D$2)/$X173</f>
        <v>-0.34677056677990292</v>
      </c>
      <c r="AE173">
        <v>1</v>
      </c>
      <c r="AG173">
        <v>1</v>
      </c>
      <c r="AH173">
        <v>1</v>
      </c>
      <c r="AI173">
        <v>1</v>
      </c>
      <c r="AJ173">
        <v>1</v>
      </c>
      <c r="AK173">
        <v>1</v>
      </c>
      <c r="AL173">
        <v>1</v>
      </c>
      <c r="AM173">
        <v>1</v>
      </c>
      <c r="AO173">
        <v>-3.2241813396750425</v>
      </c>
      <c r="AP173">
        <v>-0.32145049526956887</v>
      </c>
      <c r="AQ173">
        <v>-3.3879486124275835</v>
      </c>
      <c r="AR173">
        <v>7</v>
      </c>
      <c r="AT173">
        <v>2.0532680709941333</v>
      </c>
      <c r="AU173">
        <v>0.40566257473460621</v>
      </c>
      <c r="AV173">
        <v>2.0980803144847289</v>
      </c>
      <c r="AW173">
        <v>2.1226710465186844</v>
      </c>
      <c r="AY173">
        <v>-18.566894222050905</v>
      </c>
      <c r="BA173">
        <v>11.081746040364479</v>
      </c>
      <c r="BD173">
        <f>SQRT(($T173*1000+coord!$B$7*$R173*$U173*1000-coord!$B$2-BA$170)^2+($U173*1000-coord!$B$7*$R173*$T173*1000-coord!$C$2-BA$171)^2+($V173*1000-coord!$D$2-BA$172)^2)</f>
        <v>21325820.267272081</v>
      </c>
      <c r="BE173" s="3">
        <f t="shared" si="105"/>
        <v>3.3344603828287376</v>
      </c>
      <c r="BG173" s="1"/>
      <c r="BH173" s="1"/>
      <c r="BI173" s="1"/>
      <c r="CA173">
        <v>0</v>
      </c>
      <c r="CB173">
        <v>0</v>
      </c>
      <c r="CC173">
        <v>0</v>
      </c>
      <c r="CD173">
        <v>1</v>
      </c>
      <c r="CG173" s="1"/>
      <c r="CH173" s="1"/>
      <c r="CI173" s="1"/>
      <c r="CK173">
        <v>2.0532680709941333</v>
      </c>
      <c r="CL173">
        <v>0.40566257473460621</v>
      </c>
      <c r="CM173">
        <v>2.0980803144847289</v>
      </c>
      <c r="CN173">
        <v>2.1226710465186844</v>
      </c>
      <c r="CP173">
        <v>0</v>
      </c>
      <c r="CQ173">
        <v>0</v>
      </c>
      <c r="CR173">
        <v>0</v>
      </c>
      <c r="CS173">
        <v>1</v>
      </c>
      <c r="CU173" s="5">
        <v>-1.7534051328585765E-2</v>
      </c>
      <c r="CV173" s="5">
        <v>-2.6282203187142417E-2</v>
      </c>
      <c r="CW173" s="5">
        <v>2.9633451882580699</v>
      </c>
      <c r="CX173" s="5">
        <v>2.1226710465186844</v>
      </c>
    </row>
    <row r="174" spans="1:111">
      <c r="A174">
        <v>46</v>
      </c>
      <c r="B174">
        <f t="shared" si="100"/>
        <v>0.6333333333333333</v>
      </c>
      <c r="C174">
        <v>20</v>
      </c>
      <c r="D174">
        <f>tetto!D174*coord!$B$13-tetto!G174*coord!$B$14</f>
        <v>23436312.701706313</v>
      </c>
      <c r="E174" s="5">
        <f>90-DEGREES(ACOS((coord!$B$2*($T174*1000-coord!$B$2)+coord!$C$2*($U174*1000-coord!$C$2)+coord!$D$2*($V174*1000-coord!$D$2))/(SQRT(coord!$B$2^2+coord!$C$2^2+coord!$D$2^2)*SQRT(($T174*1000-coord!$B$2)^2+($U174*1000-coord!$C$2)^2+($V174*1000-coord!$D$2)^2))))</f>
        <v>22.715463554821355</v>
      </c>
      <c r="F174">
        <f>(coord!$C$2*($V174*1000-coord!$D$2)-coord!$D$2*($U174*1000-coord!$C$2))/(SQRT(coord!$B$2^2+coord!$C$2^2+coord!$D$2^2)*SQRT(($T174*1000-coord!$B$2)^2+($U174*1000-coord!$C$2)^2+($V174*1000-coord!$D$2)^2))</f>
        <v>-0.65131488084732925</v>
      </c>
      <c r="G174">
        <f>(-coord!$B$2*($V174*1000-coord!$D$2)+coord!$D$2*($T174*1000-coord!$B$2))/(SQRT(coord!$B$2^2+coord!$C$2^2+coord!$D$2^2)*SQRT(($T174*1000-coord!$B$2)^2+($U174*1000-coord!$C$2)^2+($V174*1000-coord!$D$2)^2))</f>
        <v>0.32666577641770644</v>
      </c>
      <c r="H174">
        <f>(coord!$B$2*($U174*1000-coord!$C$2)-coord!$C$2*($T174*1000-coord!$B$2))/(SQRT(coord!$B$2^2+coord!$C$2^2+coord!$D$2^2)*SQRT(($T174*1000-coord!$B$2)^2+($U174*1000-coord!$C$2)^2+($V174*1000-coord!$D$2)^2))</f>
        <v>0.565652457958981</v>
      </c>
      <c r="I174">
        <f t="shared" si="101"/>
        <v>0.80302237728918779</v>
      </c>
      <c r="J174">
        <f t="shared" si="102"/>
        <v>0.45390759245325352</v>
      </c>
      <c r="K174">
        <f t="shared" si="103"/>
        <v>2.6955105087918541E-3</v>
      </c>
      <c r="L174">
        <f t="shared" si="104"/>
        <v>119.4772613609709</v>
      </c>
      <c r="M174" s="5">
        <f>'sv20'!$AA$3+'sv20'!$Z$3*($B174)+'sv20'!$Y$3*($B174)^2+'sv20'!$X$3*($B174)^3+'sv20'!$W$3*($B174)^4+'sv20'!$V$3*($B174)^5+'sv20'!$U$3*($B174)^6+'sv20'!$T$3*($B174)^7+'sv20'!$S$3*($B174)^8</f>
        <v>14142.835763179957</v>
      </c>
      <c r="N174" s="5">
        <f>'sv20'!$AA$4+'sv20'!$Z$4*($B174)+'sv20'!$Y$4*($B174)^2+'sv20'!$X$4*($B174)^3+'sv20'!$W$4*($B174)^4+'sv20'!$V$4*($B174)^5+'sv20'!$U$4*($B174)^6+'sv20'!$T$4*($B174)^7+'sv20'!$S$4*($B174)^8</f>
        <v>22226.235732222169</v>
      </c>
      <c r="O174" s="5">
        <f>'sv20'!$AA$5+'sv20'!$Z$5*($B174)+'sv20'!$Y$5*($B174)^2+'sv20'!$X$5*($B174)^3+'sv20'!$W$5*($B174)^4+'sv20'!$V$5*($B174)^5+'sv20'!$U$5*($B174)^6+'sv20'!$T$5*($B174)^7+'sv20'!$S$5*($B174)^8</f>
        <v>3448.9043219192868</v>
      </c>
      <c r="P174" s="5">
        <f>'sv20'!$AA$6+'sv20'!$Z$6*$B174+'sv20'!$Y$6*$B174^2+'sv20'!$X$6*$B174^3+'sv20'!$W$6*$B174^4+'sv20'!$V$6*$B174^5+'sv20'!$U$6*$B174^6+'sv20'!$T$6*$B174^7+'sv20'!$S$6*$B174^8</f>
        <v>55.817582929779242</v>
      </c>
      <c r="R174">
        <f>SQRT(($M174*1000-coord!$B$2)^2+($N174*1000-coord!$C$2)^2+($O174*1000-coord!$D$2)^2)/coord!$B$6</f>
        <v>7.8231057315092487E-2</v>
      </c>
      <c r="T174" s="5">
        <f>'sv20'!$AA$3+'sv20'!$Z$3*($B174-$R174/3600)+'sv20'!$Y$3*($B174-$R174/3600)^2+'sv20'!$X$3*($B174-$R174/3600)^3+'sv20'!$W$3*($B174-$R174/3600)^4+'sv20'!$V$3*($B174-$R174/3600)^5+'sv20'!$U$3*($B174-$R174/3600)^6+'sv20'!$T$3*($B174-$R174/3600)^7+'sv20'!$S$3*($B174-$R174/3600)^8+N174*coord!$B$7*R174</f>
        <v>14142.970671502191</v>
      </c>
      <c r="U174" s="5">
        <f>'sv20'!$AA$4+'sv20'!$Z$4*($B174-$R174/3600)+'sv20'!$Y$4*($B174-$R174/3600)^2+'sv20'!$X$4*($B174-$R174/3600)^3+'sv20'!$W$4*($B174-$R174/3600)^4+'sv20'!$V$4*($B174-$R174/3600)^5+'sv20'!$U$4*($B174-$R174/3600)^6+'sv20'!$T$4*($B174-$R174/3600)^7+'sv20'!$S$4*($B174-$R174/3600)^8-M174*coord!$B$7*R174</f>
        <v>22226.110969990666</v>
      </c>
      <c r="V174" s="5">
        <f>'sv20'!$AA$5+'sv20'!$Z$5*($B174-$R174/3600)+'sv20'!$Y$5*($B174-$R174/3600)^2+'sv20'!$X$5*($B174-$R174/3600)^3+'sv20'!$W$5*($B174-$R174/3600)^4+'sv20'!$V$5*($B174-$R174/3600)^5+'sv20'!$U$5*($B174-$R174/3600)^6+'sv20'!$T$5*($B174-$R174/3600)^7+'sv20'!$S$5*($B174-$R174/3600)^8</f>
        <v>3449.1452013103403</v>
      </c>
      <c r="W174">
        <f>coord!$B$6*P174/10^6</f>
        <v>16733.690386137361</v>
      </c>
      <c r="X174">
        <f>SQRT(($T174*1000+coord!$B$7*$R174*$U174*1000-coord!$B$2)^2+($U174*1000-coord!$B$7*$R174*$T174*1000-coord!$C$2)^2+($V174*1000-coord!$D$2)^2)</f>
        <v>23452992.21317758</v>
      </c>
      <c r="Y174" s="3">
        <f>$D174-(X174-$W174)-coord!$E$2</f>
        <v>54.178914871066809</v>
      </c>
      <c r="Z174" s="3"/>
      <c r="AB174">
        <f>-(T174*1000-coord!$B$2)/$X174</f>
        <v>-0.41589970320382569</v>
      </c>
      <c r="AC174">
        <f>-(U174*1000-coord!$C$2)/$X174</f>
        <v>-0.90826537454875067</v>
      </c>
      <c r="AD174">
        <f>-(V174*1000-coord!$D$2)/$X174</f>
        <v>4.5642068323725762E-2</v>
      </c>
      <c r="AE174">
        <v>1</v>
      </c>
      <c r="BD174">
        <f>SQRT(($T174*1000+coord!$B$7*$R174*$U174*1000-coord!$B$2-BA$170)^2+($U174*1000-coord!$B$7*$R174*$T174*1000-coord!$C$2-BA$171)^2+($V174*1000-coord!$D$2-BA$172)^2)</f>
        <v>23453033.173162021</v>
      </c>
      <c r="BE174" s="3">
        <f t="shared" si="105"/>
        <v>2.137184390345837</v>
      </c>
      <c r="BG174" s="1"/>
      <c r="BH174" s="1"/>
      <c r="BI174" s="1"/>
      <c r="CG174" s="1"/>
      <c r="CH174" s="1"/>
      <c r="CI174" s="1"/>
    </row>
    <row r="175" spans="1:111">
      <c r="A175">
        <v>46</v>
      </c>
      <c r="B175">
        <f t="shared" si="100"/>
        <v>0.6333333333333333</v>
      </c>
      <c r="C175">
        <v>13</v>
      </c>
      <c r="D175">
        <f>tetto!D175*coord!$B$13-tetto!G175*coord!$B$14</f>
        <v>20239232.685562041</v>
      </c>
      <c r="E175" s="5">
        <f>90-DEGREES(ACOS((coord!$B$2*($T175*1000-coord!$B$2)+coord!$C$2*($U175*1000-coord!$C$2)+coord!$D$2*($V175*1000-coord!$D$2))/(SQRT(coord!$B$2^2+coord!$C$2^2+coord!$D$2^2)*SQRT(($T175*1000-coord!$B$2)^2+($U175*1000-coord!$C$2)^2+($V175*1000-coord!$D$2)^2))))</f>
        <v>71.492054753855541</v>
      </c>
      <c r="F175">
        <f>(coord!$C$2*($V175*1000-coord!$D$2)-coord!$D$2*($U175*1000-coord!$C$2))/(SQRT(coord!$B$2^2+coord!$C$2^2+coord!$D$2^2)*SQRT(($T175*1000-coord!$B$2)^2+($U175*1000-coord!$C$2)^2+($V175*1000-coord!$D$2)^2))</f>
        <v>-6.8326071700845661E-2</v>
      </c>
      <c r="G175">
        <f>(-coord!$B$2*($V175*1000-coord!$D$2)+coord!$D$2*($T175*1000-coord!$B$2))/(SQRT(coord!$B$2^2+coord!$C$2^2+coord!$D$2^2)*SQRT(($T175*1000-coord!$B$2)^2+($U175*1000-coord!$C$2)^2+($V175*1000-coord!$D$2)^2))</f>
        <v>-0.28392568574870825</v>
      </c>
      <c r="H175">
        <f>(coord!$B$2*($U175*1000-coord!$C$2)-coord!$C$2*($T175*1000-coord!$B$2))/(SQRT(coord!$B$2^2+coord!$C$2^2+coord!$D$2^2)*SQRT(($T175*1000-coord!$B$2)^2+($U175*1000-coord!$C$2)^2+($V175*1000-coord!$D$2)^2))</f>
        <v>0.12443258152250591</v>
      </c>
      <c r="I175">
        <f t="shared" si="101"/>
        <v>0.17664803493712589</v>
      </c>
      <c r="J175">
        <f t="shared" si="102"/>
        <v>-0.26374387773191693</v>
      </c>
      <c r="K175">
        <f t="shared" si="103"/>
        <v>5.9427105097395461E-4</v>
      </c>
      <c r="L175">
        <f t="shared" si="104"/>
        <v>33.813033736552747</v>
      </c>
      <c r="M175" s="5">
        <f>'sv13'!$AA$3+'sv13'!$Z$3*($B175)+'sv13'!$Y$3*($B175)^2+'sv13'!$X$3*($B175)^3+'sv13'!$W$3*($B175)^4+'sv13'!$V$3*($B175)^5+'sv13'!$U$3*($B175)^6+'sv13'!$T$3*($B175)^7+'sv13'!$S$3*($B175)^8</f>
        <v>13212.645313431405</v>
      </c>
      <c r="N175" s="5">
        <f>'sv13'!$AA$4+'sv13'!$Z$4*($B175)+'sv13'!$Y$4*($B175)^2+'sv13'!$X$4*($B175)^3+'sv13'!$W$4*($B175)^4+'sv13'!$V$4*($B175)^5+'sv13'!$U$4*($B175)^6+'sv13'!$T$4*($B175)^7+'sv13'!$S$4*($B175)^8</f>
        <v>6453.8464752483042</v>
      </c>
      <c r="O175" s="5">
        <f>'sv13'!$AA$5+'sv13'!$Z$5*($B175)+'sv13'!$Y$5*($B175)^2+'sv13'!$X$5*($B175)^3+'sv13'!$W$5*($B175)^4+'sv13'!$V$5*($B175)^5+'sv13'!$U$5*($B175)^6+'sv13'!$T$5*($B175)^7+'sv13'!$S$5*($B175)^8</f>
        <v>21980.84666199503</v>
      </c>
      <c r="P175" s="5">
        <f>'sv13'!$AA$6+'sv13'!$Z$6*$B175+'sv13'!$Y$6*$B175^2+'sv13'!$X$6*$B175^3+'sv13'!$W$6*$B175^4+'sv13'!$V$6*$B175^5+'sv13'!$U$6*$B175^6+'sv13'!$T$6*$B175^7+'sv13'!$S$6*$B175^8</f>
        <v>304.21916336682546</v>
      </c>
      <c r="R175">
        <f>SQRT(($M175*1000-coord!$B$2)^2+($N175*1000-coord!$C$2)^2+($O175*1000-coord!$D$2)^2)/coord!$B$6</f>
        <v>6.7815090603721859E-2</v>
      </c>
      <c r="T175" s="5">
        <f>'sv13'!$AA$3+'sv13'!$Z$3*($B175-$R175/3600)+'sv13'!$Y$3*($B175-$R175/3600)^2+'sv13'!$X$3*($B175-$R175/3600)^3+'sv13'!$W$3*($B175-$R175/3600)^4+'sv13'!$V$3*($B175-$R175/3600)^5+'sv13'!$U$3*($B175-$R175/3600)^6+'sv13'!$T$3*($B175-$R175/3600)^7+'sv13'!$S$3*($B175-$R175/3600)^8+N175*coord!$B$7*R175</f>
        <v>13212.7957383047</v>
      </c>
      <c r="U175" s="5">
        <f>'sv13'!$AA$4+'sv13'!$Z$4*($B175-$R175/3600)+'sv13'!$Y$4*($B175-$R175/3600)^2+'sv13'!$X$4*($B175-$R175/3600)^3+'sv13'!$W$4*($B175-$R175/3600)^4+'sv13'!$V$4*($B175-$R175/3600)^5+'sv13'!$U$4*($B175-$R175/3600)^6+'sv13'!$T$4*($B175-$R175/3600)^7+'sv13'!$S$4*($B175-$R175/3600)^8-M175*coord!$B$7*R175</f>
        <v>6453.6313923171074</v>
      </c>
      <c r="V175" s="5">
        <f>'sv13'!$AA$5+'sv13'!$Z$5*($B175-$R175/3600)+'sv13'!$Y$5*($B175-$R175/3600)^2+'sv13'!$X$5*($B175-$R175/3600)^3+'sv13'!$W$5*($B175-$R175/3600)^4+'sv13'!$V$5*($B175-$R175/3600)^5+'sv13'!$U$5*($B175-$R175/3600)^6+'sv13'!$T$5*($B175-$R175/3600)^7+'sv13'!$S$5*($B175-$R175/3600)^8</f>
        <v>21980.819767227618</v>
      </c>
      <c r="W175">
        <f>coord!$B$6*P175/10^6</f>
        <v>91202.610756444148</v>
      </c>
      <c r="X175">
        <f>SQRT(($T175*1000+coord!$B$7*$R175*$U175*1000-coord!$B$2)^2+($U175*1000-coord!$B$7*$R175*$T175*1000-coord!$C$2)^2+($V175*1000-coord!$D$2)^2)</f>
        <v>20330432.477000948</v>
      </c>
      <c r="Y175" s="3">
        <f>$D175-(X175-$W175)-coord!$E$2</f>
        <v>2.8193175382912159</v>
      </c>
      <c r="Z175" s="3"/>
      <c r="AB175">
        <f>-(T175*1000-coord!$B$2)/$X175</f>
        <v>-0.43402507927398315</v>
      </c>
      <c r="AC175">
        <f>-(U175*1000-coord!$C$2)/$X175</f>
        <v>-0.2719598407644267</v>
      </c>
      <c r="AD175">
        <f>-(V175*1000-coord!$D$2)/$X175</f>
        <v>-0.85887162079217205</v>
      </c>
      <c r="AE175">
        <v>1</v>
      </c>
      <c r="BD175">
        <f>SQRT(($T175*1000+coord!$B$7*$R175*$U175*1000-coord!$B$2-BA$170)^2+($U175*1000-coord!$B$7*$R175*$T175*1000-coord!$C$2-BA$171)^2+($V175*1000-coord!$D$2-BA$172)^2)</f>
        <v>20330421.873212632</v>
      </c>
      <c r="BE175" s="3">
        <f t="shared" si="105"/>
        <v>2.3413598141765846</v>
      </c>
      <c r="BG175" s="1"/>
      <c r="BH175" s="1"/>
      <c r="BI175" s="1"/>
      <c r="CG175" s="1"/>
      <c r="CH175" s="1"/>
      <c r="CI175" s="1"/>
    </row>
    <row r="176" spans="1:111">
      <c r="A176">
        <v>46</v>
      </c>
      <c r="B176">
        <f t="shared" si="100"/>
        <v>0.6333333333333333</v>
      </c>
      <c r="C176">
        <v>7</v>
      </c>
      <c r="D176">
        <f>tetto!D176*coord!$B$13-tetto!G176*coord!$B$14</f>
        <v>21486995.463624299</v>
      </c>
      <c r="E176" s="5">
        <f>90-DEGREES(ACOS((coord!$B$2*($T176*1000-coord!$B$2)+coord!$C$2*($U176*1000-coord!$C$2)+coord!$D$2*($V176*1000-coord!$D$2))/(SQRT(coord!$B$2^2+coord!$C$2^2+coord!$D$2^2)*SQRT(($T176*1000-coord!$B$2)^2+($U176*1000-coord!$C$2)^2+($V176*1000-coord!$D$2)^2))))</f>
        <v>49.41829467875705</v>
      </c>
      <c r="F176">
        <f>(coord!$C$2*($V176*1000-coord!$D$2)-coord!$D$2*($U176*1000-coord!$C$2))/(SQRT(coord!$B$2^2+coord!$C$2^2+coord!$D$2^2)*SQRT(($T176*1000-coord!$B$2)^2+($U176*1000-coord!$C$2)^2+($V176*1000-coord!$D$2)^2))</f>
        <v>-0.17310896503793577</v>
      </c>
      <c r="G176">
        <f>(-coord!$B$2*($V176*1000-coord!$D$2)+coord!$D$2*($T176*1000-coord!$B$2))/(SQRT(coord!$B$2^2+coord!$C$2^2+coord!$D$2^2)*SQRT(($T176*1000-coord!$B$2)^2+($U176*1000-coord!$C$2)^2+($V176*1000-coord!$D$2)^2))</f>
        <v>0.6257939788313478</v>
      </c>
      <c r="H176">
        <f>(coord!$B$2*($U176*1000-coord!$C$2)-coord!$C$2*($T176*1000-coord!$B$2))/(SQRT(coord!$B$2^2+coord!$C$2^2+coord!$D$2^2)*SQRT(($T176*1000-coord!$B$2)^2+($U176*1000-coord!$C$2)^2+($V176*1000-coord!$D$2)^2))</f>
        <v>4.0084112623170368E-2</v>
      </c>
      <c r="I176">
        <f t="shared" si="101"/>
        <v>5.6907228432440421E-2</v>
      </c>
      <c r="J176">
        <f t="shared" si="102"/>
        <v>0.6480378735168959</v>
      </c>
      <c r="K176">
        <f t="shared" si="103"/>
        <v>1.8879274167635587E-4</v>
      </c>
      <c r="L176">
        <f t="shared" si="104"/>
        <v>174.98146393061927</v>
      </c>
      <c r="M176" s="5">
        <f>'sv07'!$AA$3+'sv07'!$Z$3*($B176)+'sv07'!$Y$3*($B176)^2+'sv07'!$X$3*($B176)^3+'sv07'!$W$3*($B176)^4+'sv07'!$V$3*($B176)^5+'sv07'!$U$3*($B176)^6+'sv07'!$T$3*($B176)^7+'sv07'!$S$3*($B176)^8</f>
        <v>25056.030728408135</v>
      </c>
      <c r="N176" s="5">
        <f>'sv07'!$AA$4+'sv07'!$Z$4*($B176)+'sv07'!$Y$4*($B176)^2+'sv07'!$X$4*($B176)^3+'sv07'!$W$4*($B176)^4+'sv07'!$V$4*($B176)^5+'sv07'!$U$4*($B176)^6+'sv07'!$T$4*($B176)^7+'sv07'!$S$4*($B176)^8</f>
        <v>6528.0636020128859</v>
      </c>
      <c r="O176" s="5">
        <f>'sv07'!$AA$5+'sv07'!$Z$5*($B176)+'sv07'!$Y$5*($B176)^2+'sv07'!$X$5*($B176)^3+'sv07'!$W$5*($B176)^4+'sv07'!$V$5*($B176)^5+'sv07'!$U$5*($B176)^6+'sv07'!$T$5*($B176)^7+'sv07'!$S$5*($B176)^8</f>
        <v>6294.6189609966514</v>
      </c>
      <c r="P176" s="5">
        <f>'sv07'!$AA$6+'sv07'!$Z$6*$B176+'sv07'!$Y$6*$B176^2+'sv07'!$X$6*$B176^3+'sv07'!$W$6*$B176^4+'sv07'!$V$6*$B176^5+'sv07'!$U$6*$B176^6+'sv07'!$T$6*$B176^7+'sv07'!$S$6*$B176^8</f>
        <v>-0.6380788014545038</v>
      </c>
      <c r="R176">
        <f>SQRT(($M176*1000-coord!$B$2)^2+($N176*1000-coord!$C$2)^2+($O176*1000-coord!$D$2)^2)/coord!$B$6</f>
        <v>7.1672133008997246E-2</v>
      </c>
      <c r="T176" s="5">
        <f>'sv07'!$AA$3+'sv07'!$Z$3*($B176-$R176/3600)+'sv07'!$Y$3*($B176-$R176/3600)^2+'sv07'!$X$3*($B176-$R176/3600)^3+'sv07'!$W$3*($B176-$R176/3600)^4+'sv07'!$V$3*($B176-$R176/3600)^5+'sv07'!$U$3*($B176-$R176/3600)^6+'sv07'!$T$3*($B176-$R176/3600)^7+'sv07'!$S$3*($B176-$R176/3600)^8+N176*coord!$B$7*R176</f>
        <v>25056.123097040916</v>
      </c>
      <c r="U176" s="5">
        <f>'sv07'!$AA$4+'sv07'!$Z$4*($B176-$R176/3600)+'sv07'!$Y$4*($B176-$R176/3600)^2+'sv07'!$X$4*($B176-$R176/3600)^3+'sv07'!$W$4*($B176-$R176/3600)^4+'sv07'!$V$4*($B176-$R176/3600)^5+'sv07'!$U$4*($B176-$R176/3600)^6+'sv07'!$T$4*($B176-$R176/3600)^7+'sv07'!$S$4*($B176-$R176/3600)^8-M176*coord!$B$7*R176</f>
        <v>6527.9217052869317</v>
      </c>
      <c r="V176" s="5">
        <f>'sv07'!$AA$5+'sv07'!$Z$5*($B176-$R176/3600)+'sv07'!$Y$5*($B176-$R176/3600)^2+'sv07'!$X$5*($B176-$R176/3600)^3+'sv07'!$W$5*($B176-$R176/3600)^4+'sv07'!$V$5*($B176-$R176/3600)^5+'sv07'!$U$5*($B176-$R176/3600)^6+'sv07'!$T$5*($B176-$R176/3600)^7+'sv07'!$S$5*($B176-$R176/3600)^8</f>
        <v>6294.4000310737238</v>
      </c>
      <c r="W176">
        <f>coord!$B$6*P176/10^6</f>
        <v>-191.29121228573965</v>
      </c>
      <c r="X176">
        <f>SQRT(($T176*1000+coord!$B$7*$R176*$U176*1000-coord!$B$2)^2+($U176*1000-coord!$B$7*$R176*$T176*1000-coord!$C$2)^2+($V176*1000-coord!$D$2)^2)</f>
        <v>21486797.347463302</v>
      </c>
      <c r="Y176" s="3">
        <f>$D176-(X176-$W176)-coord!$E$2</f>
        <v>6.8249487094581127</v>
      </c>
      <c r="Z176" s="3" t="s">
        <v>127</v>
      </c>
      <c r="AA176" s="1" t="s">
        <v>128</v>
      </c>
      <c r="AB176">
        <f>-(T176*1000-coord!$B$2)/$X176</f>
        <v>-0.9618578605285194</v>
      </c>
      <c r="AC176">
        <f>-(U176*1000-coord!$C$2)/$X176</f>
        <v>-0.26078113929568264</v>
      </c>
      <c r="AD176">
        <f>-(V176*1000-coord!$D$2)/$X176</f>
        <v>-8.2600106850416952E-2</v>
      </c>
      <c r="AE176">
        <v>1</v>
      </c>
      <c r="BD176">
        <f>SQRT(($T176*1000+coord!$B$7*$R176*$U176*1000-coord!$B$2-BA$170)^2+($U176*1000-coord!$B$7*$R176*$T176*1000-coord!$C$2-BA$171)^2+($V176*1000-coord!$D$2-BA$172)^2)</f>
        <v>21486797.337104104</v>
      </c>
      <c r="BE176" s="3">
        <f t="shared" si="105"/>
        <v>-4.2464381330513703</v>
      </c>
      <c r="BF176" s="3" t="s">
        <v>127</v>
      </c>
      <c r="BG176" s="1" t="s">
        <v>128</v>
      </c>
      <c r="BH176" s="1"/>
      <c r="BI176" s="1"/>
      <c r="CG176" s="1"/>
      <c r="CH176" s="1"/>
      <c r="CI176" s="1"/>
    </row>
    <row r="177" spans="1:111">
      <c r="Y177" s="3"/>
      <c r="Z177" s="3">
        <f>AVERAGE($Y170:$Y176)</f>
        <v>-2.6524134602929865</v>
      </c>
      <c r="AA177" s="1">
        <f>SQRT(DEVSQ($Y170:$Y176)/6)</f>
        <v>34.902152593045457</v>
      </c>
      <c r="BE177" s="3"/>
      <c r="BF177" s="3">
        <f>AVERAGE($BE170:$BE176)</f>
        <v>1.3487980300145149E-4</v>
      </c>
      <c r="BG177" s="1">
        <f>SQRT(DEVSQ($BE170:$BE176)/6)</f>
        <v>3.5443771951870744</v>
      </c>
      <c r="BH177" s="1"/>
      <c r="BI177" s="1"/>
      <c r="CG177" s="1"/>
      <c r="CH177" s="1"/>
      <c r="CI177" s="1"/>
    </row>
    <row r="178" spans="1:111">
      <c r="A178">
        <v>48</v>
      </c>
      <c r="B178">
        <f t="shared" ref="B178:B184" si="106">(60-45)/60+30*A178/3600</f>
        <v>0.65</v>
      </c>
      <c r="C178">
        <v>2</v>
      </c>
      <c r="D178">
        <f>tetto!D178*coord!$B$13-tetto!G178*coord!$B$14</f>
        <v>22317899.497650921</v>
      </c>
      <c r="E178" s="5">
        <f>90-DEGREES(ACOS((coord!$B$2*($T178*1000-coord!$B$2)+coord!$C$2*($U178*1000-coord!$C$2)+coord!$D$2*($V178*1000-coord!$D$2))/(SQRT(coord!$B$2^2+coord!$C$2^2+coord!$D$2^2)*SQRT(($T178*1000-coord!$B$2)^2+($U178*1000-coord!$C$2)^2+($V178*1000-coord!$D$2)^2))))</f>
        <v>33.634123288318094</v>
      </c>
      <c r="F178">
        <f>(coord!$C$2*($V178*1000-coord!$D$2)-coord!$D$2*($U178*1000-coord!$C$2))/(SQRT(coord!$B$2^2+coord!$C$2^2+coord!$D$2^2)*SQRT(($T178*1000-coord!$B$2)^2+($U178*1000-coord!$C$2)^2+($V178*1000-coord!$D$2)^2))</f>
        <v>0.58182044661566967</v>
      </c>
      <c r="G178">
        <f>(-coord!$B$2*($V178*1000-coord!$D$2)+coord!$D$2*($T178*1000-coord!$B$2))/(SQRT(coord!$B$2^2+coord!$C$2^2+coord!$D$2^2)*SQRT(($T178*1000-coord!$B$2)^2+($U178*1000-coord!$C$2)^2+($V178*1000-coord!$D$2)^2))</f>
        <v>-0.32624680647344512</v>
      </c>
      <c r="H178">
        <f>(coord!$B$2*($U178*1000-coord!$C$2)-coord!$C$2*($T178*1000-coord!$B$2))/(SQRT(coord!$B$2^2+coord!$C$2^2+coord!$D$2^2)*SQRT(($T178*1000-coord!$B$2)^2+($U178*1000-coord!$C$2)^2+($V178*1000-coord!$D$2)^2))</f>
        <v>-0.49825356678278959</v>
      </c>
      <c r="I178">
        <f t="shared" ref="I178:I184" si="107">$F178*$CA$2+$G178*$CB$2+$H178*$CC$2</f>
        <v>-0.70734041631695321</v>
      </c>
      <c r="J178">
        <f t="shared" ref="J178:J184" si="108">$F178*$CA$3+$G178*$CB$3+$H178*$CC$3</f>
        <v>-0.43917254730165523</v>
      </c>
      <c r="K178">
        <f t="shared" ref="K178:K184" si="109">$F178*$CA$4+$G178*$CB$4+$H178*$CC$4</f>
        <v>-2.3741918805302298E-3</v>
      </c>
      <c r="L178">
        <f t="shared" ref="L178:L184" si="110">90+DEGREES(ATAN2(I178,J178))</f>
        <v>-58.164737944658299</v>
      </c>
      <c r="M178" s="5">
        <f>'sv02'!$AA$3+'sv02'!$Z$3*($B178)+'sv02'!$Y$3*($B178)^2+'sv02'!$X$3*($B178)^3+'sv02'!$W$3*($B178)^4+'sv02'!$V$3*($B178)^5+'sv02'!$U$3*($B178)^6+'sv02'!$T$3*($B178)^7+'sv02'!$S$3*($B178)^8</f>
        <v>9373.359437301835</v>
      </c>
      <c r="N178" s="5">
        <f>'sv02'!$AA$4+'sv02'!$Z$4*($B178)+'sv02'!$Y$4*($B178)^2+'sv02'!$X$4*($B178)^3+'sv02'!$W$4*($B178)^4+'sv02'!$V$4*($B178)^5+'sv02'!$U$4*($B178)^6+'sv02'!$T$4*($B178)^7+'sv02'!$S$4*($B178)^8</f>
        <v>-14214.093279518736</v>
      </c>
      <c r="O178" s="5">
        <f>'sv02'!$AA$5+'sv02'!$Z$5*($B178)+'sv02'!$Y$5*($B178)^2+'sv02'!$X$5*($B178)^3+'sv02'!$W$5*($B178)^4+'sv02'!$V$5*($B178)^5+'sv02'!$U$5*($B178)^6+'sv02'!$T$5*($B178)^7+'sv02'!$S$5*($B178)^8</f>
        <v>20252.224808213217</v>
      </c>
      <c r="P178" s="5">
        <f>'sv02'!$AA$6+'sv02'!$Z$6*$B178+'sv02'!$Y$6*$B178^2+'sv02'!$X$6*$B178^3+'sv02'!$W$6*$B178^4+'sv02'!$V$6*$B178^5+'sv02'!$U$6*$B178^6+'sv02'!$T$6*$B178^7+'sv02'!$S$6*$B178^8</f>
        <v>257.59442664121826</v>
      </c>
      <c r="R178">
        <f>SQRT(($M178*1000-coord!$B$2)^2+($N178*1000-coord!$C$2)^2+($O178*1000-coord!$D$2)^2)/coord!$B$6</f>
        <v>7.4701977989933221E-2</v>
      </c>
      <c r="T178" s="5">
        <f>'sv02'!$AA$3+'sv02'!$Z$3*($B178-$R178/3600)+'sv02'!$Y$3*($B178-$R178/3600)^2+'sv02'!$X$3*($B178-$R178/3600)^3+'sv02'!$W$3*($B178-$R178/3600)^4+'sv02'!$V$3*($B178-$R178/3600)^5+'sv02'!$U$3*($B178-$R178/3600)^6+'sv02'!$T$3*($B178-$R178/3600)^7+'sv02'!$S$3*($B178-$R178/3600)^8+N178*coord!$B$7*R178</f>
        <v>9373.0891219103341</v>
      </c>
      <c r="U178" s="5">
        <f>'sv02'!$AA$4+'sv02'!$Z$4*($B178-$R178/3600)+'sv02'!$Y$4*($B178-$R178/3600)^2+'sv02'!$X$4*($B178-$R178/3600)^3+'sv02'!$W$4*($B178-$R178/3600)^4+'sv02'!$V$4*($B178-$R178/3600)^5+'sv02'!$U$4*($B178-$R178/3600)^6+'sv02'!$T$4*($B178-$R178/3600)^7+'sv02'!$S$4*($B178-$R178/3600)^8-M178*coord!$B$7*R178</f>
        <v>-14214.16695262983</v>
      </c>
      <c r="V178" s="5">
        <f>'sv02'!$AA$5+'sv02'!$Z$5*($B178-$R178/3600)+'sv02'!$Y$5*($B178-$R178/3600)^2+'sv02'!$X$5*($B178-$R178/3600)^3+'sv02'!$W$5*($B178-$R178/3600)^4+'sv02'!$V$5*($B178-$R178/3600)^5+'sv02'!$U$5*($B178-$R178/3600)^6+'sv02'!$T$5*($B178-$R178/3600)^7+'sv02'!$S$5*($B178-$R178/3600)^8</f>
        <v>20252.301532350535</v>
      </c>
      <c r="W178">
        <f>coord!$B$6*P178/10^6</f>
        <v>77224.866329871511</v>
      </c>
      <c r="X178">
        <f>SQRT(($T178*1000+coord!$B$7*$R178*$U178*1000-coord!$B$2)^2+($U178*1000-coord!$B$7*$R178*$T178*1000-coord!$C$2)^2+($V178*1000-coord!$D$2)^2)</f>
        <v>22395150.419733256</v>
      </c>
      <c r="Y178" s="3">
        <f>$D178-(X178-$W178)-coord!$E$2</f>
        <v>-26.055752463638783</v>
      </c>
      <c r="Z178" s="3"/>
      <c r="AB178">
        <f>-(T178*1000-coord!$B$2)/$X178</f>
        <v>-0.22255760098483407</v>
      </c>
      <c r="AC178">
        <f>-(U178*1000-coord!$C$2)/$X178</f>
        <v>0.67598283030465778</v>
      </c>
      <c r="AD178">
        <f>-(V178*1000-coord!$D$2)/$X178</f>
        <v>-0.70250536224073845</v>
      </c>
      <c r="AE178">
        <v>1</v>
      </c>
      <c r="AG178">
        <f t="array" ref="AG178:AM181">TRANSPOSE(AB178:AE184)</f>
        <v>-0.22255760098483407</v>
      </c>
      <c r="AH178">
        <v>-0.13752872274372219</v>
      </c>
      <c r="AI178">
        <v>-0.19216371327631238</v>
      </c>
      <c r="AJ178">
        <v>-0.86957906407676711</v>
      </c>
      <c r="AK178">
        <v>-0.41497535612313979</v>
      </c>
      <c r="AL178">
        <v>-0.42864330363764047</v>
      </c>
      <c r="AM178">
        <v>-0.96086361471144077</v>
      </c>
      <c r="AO178">
        <f t="array" ref="AO178:AR181">MMULT(AG178:AM181,AB178:AE184)</f>
        <v>2.1407391907356645</v>
      </c>
      <c r="AP178">
        <v>0.23642773073922996</v>
      </c>
      <c r="AQ178">
        <v>1.1207269394631554</v>
      </c>
      <c r="AR178">
        <v>-3.2263113755538564</v>
      </c>
      <c r="AT178">
        <f t="array" ref="AT178:AW181">MINVERSE(AO178:AR181)</f>
        <v>2.6408440632532564</v>
      </c>
      <c r="AU178">
        <v>0.29678951879442222</v>
      </c>
      <c r="AV178">
        <v>1.7144322854384264</v>
      </c>
      <c r="AW178">
        <v>2.0596084289288785</v>
      </c>
      <c r="AY178">
        <f t="array" ref="AY178:AY181">MMULT(AG178:AM181,Y178:Y184)</f>
        <v>6.2627714825480156</v>
      </c>
      <c r="BA178">
        <f t="array" ref="BA178:BA181">MMULT(AT178:AW181,AY178:AY181)</f>
        <v>15.359871386687296</v>
      </c>
      <c r="BD178">
        <f>SQRT(($T178*1000+coord!$B$7*$R178*$U178*1000-coord!$B$2-BA$178)^2+($U178*1000-coord!$B$7*$R178*$T178*1000-coord!$C$2-BA$179)^2+($V178*1000-coord!$D$2-BA$180)^2)</f>
        <v>22395117.965639099</v>
      </c>
      <c r="BE178" s="3">
        <f>$D178-(BD178-$W178)-BA$181</f>
        <v>-5.0592464777903743</v>
      </c>
      <c r="BG178" s="1">
        <f>coord!$B$2+$BA178</f>
        <v>4388893.530671387</v>
      </c>
      <c r="BH178" s="1">
        <f>coord!$C$2+$BA179</f>
        <v>924542.85301348241</v>
      </c>
      <c r="BI178" s="1">
        <f>coord!$D$2+$BA180</f>
        <v>4519603.2786209555</v>
      </c>
      <c r="BJ178" s="1">
        <f>coord!$E$2+$BA181</f>
        <v>11.457588170774478</v>
      </c>
      <c r="BK178" s="8">
        <f>lat($BG178,$BH178,$BI178)</f>
        <v>45.411205879551389</v>
      </c>
      <c r="BL178" s="8">
        <f>lon($BG178,$BH178,$BI178)</f>
        <v>11.895724082378919</v>
      </c>
      <c r="BM178" s="6">
        <f>h($BG178,$BH178,$BI178)</f>
        <v>79.39870360866189</v>
      </c>
      <c r="BO178">
        <f>grado($BK178)</f>
        <v>45</v>
      </c>
      <c r="BP178">
        <f>MINUTOprimo($BK178)</f>
        <v>24</v>
      </c>
      <c r="BQ178">
        <f>MINUTOsecondo($BK178)</f>
        <v>40.341166384999951</v>
      </c>
      <c r="BR178">
        <f>grado($BL178)</f>
        <v>11</v>
      </c>
      <c r="BS178">
        <f>MINUTOprimo($BL178)</f>
        <v>53</v>
      </c>
      <c r="BT178">
        <f>MINUTOsecondo($BL178)</f>
        <v>44.606696564109143</v>
      </c>
      <c r="BV178">
        <f>-SIN(RADIANS(BK178))*COS(RADIANS(BL178))</f>
        <v>-0.69686920313440781</v>
      </c>
      <c r="BW178">
        <f>-SIN(RADIANS(BL178))</f>
        <v>-0.2061311598309766</v>
      </c>
      <c r="BX178">
        <f>COS(RADIANS(BK178))*COS(RADIANS(BL178))</f>
        <v>0.68693759445058156</v>
      </c>
      <c r="BZ178" t="s">
        <v>93</v>
      </c>
      <c r="CA178">
        <f t="array" ref="CA178:CC180">MINVERSE(BV178:BX180)</f>
        <v>-0.69686920313440792</v>
      </c>
      <c r="CB178">
        <v>-0.1467990592026312</v>
      </c>
      <c r="CC178">
        <v>0.70201378187328911</v>
      </c>
      <c r="CD178">
        <v>0</v>
      </c>
      <c r="CE178" s="1">
        <f t="array" ref="CE178:CE180">MMULT(CA178:CC180,BA178:BA180)</f>
        <v>3.845868405275719</v>
      </c>
      <c r="CG178" s="1">
        <f t="array" ref="CG178:CI178">TRANSPOSE(CE178:CE180)</f>
        <v>3.845868405275719</v>
      </c>
      <c r="CH178" s="1">
        <v>-29.93875741058303</v>
      </c>
      <c r="CI178" s="1">
        <v>17.277592527429633</v>
      </c>
      <c r="CK178">
        <f t="array" ref="CK178:CN181">MMULT(CA178:CD181,AT178:AW181)</f>
        <v>-0.6803362276354552</v>
      </c>
      <c r="CL178">
        <v>9.4546981665059759E-2</v>
      </c>
      <c r="CM178">
        <v>0.59350508064048335</v>
      </c>
      <c r="CN178">
        <v>-2.23296988265278E-2</v>
      </c>
      <c r="CP178">
        <f t="array" ref="CP178:CS181">TRANSPOSE(CA178:CD181)</f>
        <v>-0.69686920313440792</v>
      </c>
      <c r="CQ178">
        <v>-0.20613115983097663</v>
      </c>
      <c r="CR178">
        <v>0.68693759445058167</v>
      </c>
      <c r="CS178">
        <v>0</v>
      </c>
      <c r="CU178" s="5">
        <f t="array" ref="CU178:CX181">MMULT(CK178:CN181,CP178:CS181)</f>
        <v>0.87687470307834681</v>
      </c>
      <c r="CV178" s="5">
        <v>0.23275502145605192</v>
      </c>
      <c r="CW178" s="5">
        <v>-3.0994357704845543E-2</v>
      </c>
      <c r="CX178" s="5">
        <v>-2.23296988265278E-2</v>
      </c>
      <c r="CZ178" s="3">
        <f>SQRT(CU178+CV179)</f>
        <v>1.169304079010419</v>
      </c>
      <c r="DA178" s="3">
        <f>CW180</f>
        <v>4.4533922148379901</v>
      </c>
      <c r="DB178" s="3">
        <f>CX181</f>
        <v>2.1273266822211565</v>
      </c>
      <c r="DC178" s="3">
        <f>BE185</f>
        <v>0</v>
      </c>
      <c r="DD178">
        <v>6</v>
      </c>
      <c r="DE178" s="6">
        <f>DB178*DD178*DC178</f>
        <v>0</v>
      </c>
      <c r="DF178">
        <v>5.33</v>
      </c>
      <c r="DG178" s="6">
        <f>DC178*DF178*SQRT(0.5*(CU178+CV179)+SQRT((0.5*(CU178-CV179))^2+CV178^2))</f>
        <v>0</v>
      </c>
    </row>
    <row r="179" spans="1:111">
      <c r="A179">
        <v>48</v>
      </c>
      <c r="B179">
        <f t="shared" si="106"/>
        <v>0.65</v>
      </c>
      <c r="C179">
        <v>23</v>
      </c>
      <c r="D179">
        <f>tetto!D179*coord!$B$13-tetto!G179*coord!$B$14</f>
        <v>21383183.520345639</v>
      </c>
      <c r="E179" s="5">
        <f>90-DEGREES(ACOS((coord!$B$2*($T179*1000-coord!$B$2)+coord!$C$2*($U179*1000-coord!$C$2)+coord!$D$2*($V179*1000-coord!$D$2))/(SQRT(coord!$B$2^2+coord!$C$2^2+coord!$D$2^2)*SQRT(($T179*1000-coord!$B$2)^2+($U179*1000-coord!$C$2)^2+($V179*1000-coord!$D$2)^2))))</f>
        <v>46.635972955663519</v>
      </c>
      <c r="F179">
        <f>(coord!$C$2*($V179*1000-coord!$D$2)-coord!$D$2*($U179*1000-coord!$C$2))/(SQRT(coord!$B$2^2+coord!$C$2^2+coord!$D$2^2)*SQRT(($T179*1000-coord!$B$2)^2+($U179*1000-coord!$C$2)^2+($V179*1000-coord!$D$2)^2))</f>
        <v>-0.33953389566643938</v>
      </c>
      <c r="G179">
        <f>(-coord!$B$2*($V179*1000-coord!$D$2)+coord!$D$2*($T179*1000-coord!$B$2))/(SQRT(coord!$B$2^2+coord!$C$2^2+coord!$D$2^2)*SQRT(($T179*1000-coord!$B$2)^2+($U179*1000-coord!$C$2)^2+($V179*1000-coord!$D$2)^2))</f>
        <v>-0.42690873688003178</v>
      </c>
      <c r="H179">
        <f>(coord!$B$2*($U179*1000-coord!$C$2)-coord!$C$2*($T179*1000-coord!$B$2))/(SQRT(coord!$B$2^2+coord!$C$2^2+coord!$D$2^2)*SQRT(($T179*1000-coord!$B$2)^2+($U179*1000-coord!$C$2)^2+($V179*1000-coord!$D$2)^2))</f>
        <v>0.41704683931705416</v>
      </c>
      <c r="I179">
        <f t="shared" si="107"/>
        <v>0.59205352640622189</v>
      </c>
      <c r="J179">
        <f t="shared" si="108"/>
        <v>-0.34775144083996079</v>
      </c>
      <c r="K179">
        <f t="shared" si="109"/>
        <v>1.9898188274021233E-3</v>
      </c>
      <c r="L179">
        <f t="shared" si="110"/>
        <v>59.571520457505073</v>
      </c>
      <c r="M179" s="5">
        <f>'sv23'!$AA$3+'sv23'!$Z$3*($B179)+'sv23'!$Y$3*($B179)^2+'sv23'!$X$3*($B179)^3+'sv23'!$W$3*($B179)^4+'sv23'!$V$3*($B179)^5+'sv23'!$U$3*($B179)^6+'sv23'!$T$3*($B179)^7+'sv23'!$S$3*($B179)^8</f>
        <v>7344.7444935465037</v>
      </c>
      <c r="N179" s="5">
        <f>'sv23'!$AA$4+'sv23'!$Z$4*($B179)+'sv23'!$Y$4*($B179)^2+'sv23'!$X$4*($B179)^3+'sv23'!$W$4*($B179)^4+'sv23'!$V$4*($B179)^5+'sv23'!$U$4*($B179)^6+'sv23'!$T$4*($B179)^7+'sv23'!$S$4*($B179)^8</f>
        <v>14552.571314173254</v>
      </c>
      <c r="O179" s="5">
        <f>'sv23'!$AA$5+'sv23'!$Z$5*($B179)+'sv23'!$Y$5*($B179)^2+'sv23'!$X$5*($B179)^3+'sv23'!$W$5*($B179)^4+'sv23'!$V$5*($B179)^5+'sv23'!$U$5*($B179)^6+'sv23'!$T$5*($B179)^7+'sv23'!$S$5*($B179)^8</f>
        <v>20876.227398716048</v>
      </c>
      <c r="P179" s="5">
        <f>'sv23'!$AA$6+'sv23'!$Z$6*$B179+'sv23'!$Y$6*$B179^2+'sv23'!$X$6*$B179^3+'sv23'!$W$6*$B179^4+'sv23'!$V$6*$B179^5+'sv23'!$U$6*$B179^6+'sv23'!$T$6*$B179^7+'sv23'!$S$6*$B179^8</f>
        <v>370.05561322076602</v>
      </c>
      <c r="R179">
        <f>SQRT(($M179*1000-coord!$B$2)^2+($N179*1000-coord!$C$2)^2+($O179*1000-coord!$D$2)^2)/coord!$B$6</f>
        <v>7.1696822754328288E-2</v>
      </c>
      <c r="T179" s="5">
        <f>'sv23'!$AA$3+'sv23'!$Z$3*($B179-$R179/3600)+'sv23'!$Y$3*($B179-$R179/3600)^2+'sv23'!$X$3*($B179-$R179/3600)^3+'sv23'!$W$3*($B179-$R179/3600)^4+'sv23'!$V$3*($B179-$R179/3600)^5+'sv23'!$U$3*($B179-$R179/3600)^6+'sv23'!$T$3*($B179-$R179/3600)^7+'sv23'!$S$3*($B179-$R179/3600)^8+N179*coord!$B$7*R179</f>
        <v>7344.9356398925411</v>
      </c>
      <c r="U179" s="5">
        <f>'sv23'!$AA$4+'sv23'!$Z$4*($B179-$R179/3600)+'sv23'!$Y$4*($B179-$R179/3600)^2+'sv23'!$X$4*($B179-$R179/3600)^3+'sv23'!$W$4*($B179-$R179/3600)^4+'sv23'!$V$4*($B179-$R179/3600)^5+'sv23'!$U$4*($B179-$R179/3600)^6+'sv23'!$T$4*($B179-$R179/3600)^7+'sv23'!$S$4*($B179-$R179/3600)^8-M179*coord!$B$7*R179</f>
        <v>14552.380473625688</v>
      </c>
      <c r="V179" s="5">
        <f>'sv23'!$AA$5+'sv23'!$Z$5*($B179-$R179/3600)+'sv23'!$Y$5*($B179-$R179/3600)^2+'sv23'!$X$5*($B179-$R179/3600)^3+'sv23'!$W$5*($B179-$R179/3600)^4+'sv23'!$V$5*($B179-$R179/3600)^5+'sv23'!$U$5*($B179-$R179/3600)^6+'sv23'!$T$5*($B179-$R179/3600)^7+'sv23'!$S$5*($B179-$R179/3600)^8</f>
        <v>20876.295315131858</v>
      </c>
      <c r="W179">
        <f>coord!$B$6*P179/10^6</f>
        <v>110939.88188415075</v>
      </c>
      <c r="X179">
        <f>SQRT(($T179*1000+coord!$B$7*$R179*$U179*1000-coord!$B$2)^2+($U179*1000-coord!$B$7*$R179*$T179*1000-coord!$C$2)^2+($V179*1000-coord!$D$2)^2)</f>
        <v>21494109.812980697</v>
      </c>
      <c r="Y179" s="3">
        <f>$D179-(X179-$W179)-coord!$E$2</f>
        <v>13.589249093085527</v>
      </c>
      <c r="Z179" s="3"/>
      <c r="AB179">
        <f>-(T179*1000-coord!$B$2)/$X179</f>
        <v>-0.13752872274372219</v>
      </c>
      <c r="AC179">
        <f>-(U179*1000-coord!$C$2)/$X179</f>
        <v>-0.63402533898824687</v>
      </c>
      <c r="AD179">
        <f>-(V179*1000-coord!$D$2)/$X179</f>
        <v>-0.76098555293291259</v>
      </c>
      <c r="AE179">
        <v>1</v>
      </c>
      <c r="AG179">
        <v>0.67598283030465778</v>
      </c>
      <c r="AH179">
        <v>-0.63402533898824687</v>
      </c>
      <c r="AI179">
        <v>0.70693996783443391</v>
      </c>
      <c r="AJ179">
        <v>0.35881475065519686</v>
      </c>
      <c r="AK179">
        <v>-0.90826275273128032</v>
      </c>
      <c r="AL179">
        <v>-0.27833781094628057</v>
      </c>
      <c r="AM179">
        <v>-0.26156454996050393</v>
      </c>
      <c r="AO179">
        <v>0.23642773073922996</v>
      </c>
      <c r="AP179">
        <v>2.4582822395527697</v>
      </c>
      <c r="AQ179">
        <v>-0.3807449890015342</v>
      </c>
      <c r="AR179">
        <v>-0.34045290383202315</v>
      </c>
      <c r="AT179">
        <v>0.29678951879442245</v>
      </c>
      <c r="AU179">
        <v>0.5200104720563633</v>
      </c>
      <c r="AV179">
        <v>0.53803431635126819</v>
      </c>
      <c r="AW179">
        <v>0.42193181140445229</v>
      </c>
      <c r="AY179">
        <v>-73.241150231323559</v>
      </c>
      <c r="BA179">
        <v>-27.360186517536913</v>
      </c>
      <c r="BD179">
        <f>SQRT(($T179*1000+coord!$B$7*$R179*$U179*1000-coord!$B$2-BA$178)^2+($U179*1000-coord!$B$7*$R179*$T179*1000-coord!$C$2-BA$179)^2+($V179*1000-coord!$D$2-BA$180)^2)</f>
        <v>21494113.629461803</v>
      </c>
      <c r="BE179" s="3">
        <f t="shared" ref="BE179:BE184" si="111">$D179-(BD179-$W179)-BA$181</f>
        <v>-1.6848201836722083</v>
      </c>
      <c r="BG179" s="1"/>
      <c r="BH179" s="1"/>
      <c r="BI179" s="1"/>
      <c r="BV179">
        <f>-SIN(RADIANS(BK178))*SIN(RADIANS(BL178))</f>
        <v>-0.14679905920263117</v>
      </c>
      <c r="BW179">
        <f>COS(RADIANS(BL178))</f>
        <v>0.97852437115625091</v>
      </c>
      <c r="BX179">
        <f>COS(RADIANS(BK178))*SIN(RADIANS(BL178))</f>
        <v>0.14470691507487127</v>
      </c>
      <c r="BZ179" t="s">
        <v>94</v>
      </c>
      <c r="CA179">
        <v>-0.20613115983097663</v>
      </c>
      <c r="CB179">
        <v>0.97852437115625102</v>
      </c>
      <c r="CC179">
        <v>0</v>
      </c>
      <c r="CD179">
        <v>0</v>
      </c>
      <c r="CE179" s="1">
        <v>-29.93875741058303</v>
      </c>
      <c r="CG179" s="1"/>
      <c r="CH179" s="1"/>
      <c r="CI179" s="1"/>
      <c r="CK179">
        <v>-0.25394447244706414</v>
      </c>
      <c r="CL179">
        <v>0.44766535242884642</v>
      </c>
      <c r="CM179">
        <v>0.17308177561901328</v>
      </c>
      <c r="CN179">
        <v>-1.1678913827405768E-2</v>
      </c>
      <c r="CP179">
        <v>-0.1467990592026312</v>
      </c>
      <c r="CQ179">
        <v>0.97852437115625102</v>
      </c>
      <c r="CR179">
        <v>0.1447069150748713</v>
      </c>
      <c r="CS179">
        <v>0</v>
      </c>
      <c r="CU179" s="5">
        <v>0.23275502145605176</v>
      </c>
      <c r="CV179" s="5">
        <v>0.49039732611205722</v>
      </c>
      <c r="CW179" s="5">
        <v>1.3598765834771431E-2</v>
      </c>
      <c r="CX179" s="5">
        <v>-1.1678913827405768E-2</v>
      </c>
    </row>
    <row r="180" spans="1:111">
      <c r="A180">
        <v>48</v>
      </c>
      <c r="B180">
        <f t="shared" si="106"/>
        <v>0.65</v>
      </c>
      <c r="C180">
        <v>10</v>
      </c>
      <c r="D180">
        <f>tetto!D180*coord!$B$13-tetto!G180*coord!$B$14</f>
        <v>22518998.290638894</v>
      </c>
      <c r="E180" s="5">
        <f>90-DEGREES(ACOS((coord!$B$2*($T180*1000-coord!$B$2)+coord!$C$2*($U180*1000-coord!$C$2)+coord!$D$2*($V180*1000-coord!$D$2))/(SQRT(coord!$B$2^2+coord!$C$2^2+coord!$D$2^2)*SQRT(($T180*1000-coord!$B$2)^2+($U180*1000-coord!$C$2)^2+($V180*1000-coord!$D$2)^2))))</f>
        <v>30.859974960317118</v>
      </c>
      <c r="F180">
        <f>(coord!$C$2*($V180*1000-coord!$D$2)-coord!$D$2*($U180*1000-coord!$C$2))/(SQRT(coord!$B$2^2+coord!$C$2^2+coord!$D$2^2)*SQRT(($T180*1000-coord!$B$2)^2+($U180*1000-coord!$C$2)^2+($V180*1000-coord!$D$2)^2))</f>
        <v>0.6006228662091353</v>
      </c>
      <c r="G180">
        <f>(-coord!$B$2*($V180*1000-coord!$D$2)+coord!$D$2*($T180*1000-coord!$B$2))/(SQRT(coord!$B$2^2+coord!$C$2^2+coord!$D$2^2)*SQRT(($T180*1000-coord!$B$2)^2+($U180*1000-coord!$C$2)^2+($V180*1000-coord!$D$2)^2))</f>
        <v>-0.33276775591355551</v>
      </c>
      <c r="H180">
        <f>(coord!$B$2*($U180*1000-coord!$C$2)-coord!$C$2*($T180*1000-coord!$B$2))/(SQRT(coord!$B$2^2+coord!$C$2^2+coord!$D$2^2)*SQRT(($T180*1000-coord!$B$2)^2+($U180*1000-coord!$C$2)^2+($V180*1000-coord!$D$2)^2))</f>
        <v>-0.51517821758180982</v>
      </c>
      <c r="I180">
        <f t="shared" si="107"/>
        <v>-0.73136730111149784</v>
      </c>
      <c r="J180">
        <f t="shared" si="108"/>
        <v>-0.4494292460566634</v>
      </c>
      <c r="K180">
        <f t="shared" si="109"/>
        <v>-2.4548551105838534E-3</v>
      </c>
      <c r="L180">
        <f t="shared" si="110"/>
        <v>-58.429045297601931</v>
      </c>
      <c r="M180" s="5">
        <f>'sv10'!$AA$3+'sv10'!$Z$3*($B180)+'sv10'!$Y$3*($B180)^2+'sv10'!$X$3*($B180)^3+'sv10'!$W$3*($B180)^4+'sv10'!$V$3*($B180)^5+'sv10'!$U$3*($B180)^6+'sv10'!$T$3*($B180)^7+'sv10'!$S$3*($B180)^8</f>
        <v>8713.9090747043538</v>
      </c>
      <c r="N180" s="5">
        <f>'sv10'!$AA$4+'sv10'!$Z$4*($B180)+'sv10'!$Y$4*($B180)^2+'sv10'!$X$4*($B180)^3+'sv10'!$W$4*($B180)^4+'sv10'!$V$4*($B180)^5+'sv10'!$U$4*($B180)^6+'sv10'!$T$4*($B180)^7+'sv10'!$S$4*($B180)^8</f>
        <v>-14985.688854760421</v>
      </c>
      <c r="O180" s="5">
        <f>'sv10'!$AA$5+'sv10'!$Z$5*($B180)+'sv10'!$Y$5*($B180)^2+'sv10'!$X$5*($B180)^3+'sv10'!$W$5*($B180)^4+'sv10'!$V$5*($B180)^5+'sv10'!$U$5*($B180)^6+'sv10'!$T$5*($B180)^7+'sv10'!$S$5*($B180)^8</f>
        <v>19838.854328979935</v>
      </c>
      <c r="P180" s="5">
        <f>'sv10'!$AA$6+'sv10'!$Z$6*$B180+'sv10'!$Y$6*$B180^2+'sv10'!$X$6*$B180^3+'sv10'!$W$6*$B180^4+'sv10'!$V$6*$B180^5+'sv10'!$U$6*$B180^6+'sv10'!$T$6*$B180^7+'sv10'!$S$6*$B180^8</f>
        <v>-43.001926915434879</v>
      </c>
      <c r="R180">
        <f>SQRT(($M180*1000-coord!$B$2)^2+($N180*1000-coord!$C$2)^2+($O180*1000-coord!$D$2)^2)/coord!$B$6</f>
        <v>7.50720918045584E-2</v>
      </c>
      <c r="T180" s="5">
        <f>'sv10'!$AA$3+'sv10'!$Z$3*($B180-$R180/3600)+'sv10'!$Y$3*($B180-$R180/3600)^2+'sv10'!$X$3*($B180-$R180/3600)^3+'sv10'!$W$3*($B180-$R180/3600)^4+'sv10'!$V$3*($B180-$R180/3600)^5+'sv10'!$U$3*($B180-$R180/3600)^6+'sv10'!$T$3*($B180-$R180/3600)^7+'sv10'!$S$3*($B180-$R180/3600)^8+N180*coord!$B$7*R180</f>
        <v>8713.7385841112518</v>
      </c>
      <c r="U180" s="5">
        <f>'sv10'!$AA$4+'sv10'!$Z$4*($B180-$R180/3600)+'sv10'!$Y$4*($B180-$R180/3600)^2+'sv10'!$X$4*($B180-$R180/3600)^3+'sv10'!$W$4*($B180-$R180/3600)^4+'sv10'!$V$4*($B180-$R180/3600)^5+'sv10'!$U$4*($B180-$R180/3600)^6+'sv10'!$T$4*($B180-$R180/3600)^7+'sv10'!$S$4*($B180-$R180/3600)^8-M180*coord!$B$7*R180</f>
        <v>-14985.908562147197</v>
      </c>
      <c r="V180" s="5">
        <f>'sv10'!$AA$5+'sv10'!$Z$5*($B180-$R180/3600)+'sv10'!$Y$5*($B180-$R180/3600)^2+'sv10'!$X$5*($B180-$R180/3600)^3+'sv10'!$W$5*($B180-$R180/3600)^4+'sv10'!$V$5*($B180-$R180/3600)^5+'sv10'!$U$5*($B180-$R180/3600)^6+'sv10'!$T$5*($B180-$R180/3600)^7+'sv10'!$S$5*($B180-$R180/3600)^8</f>
        <v>19838.761534428588</v>
      </c>
      <c r="W180">
        <f>coord!$B$6*P180/10^6</f>
        <v>-12891.65336871458</v>
      </c>
      <c r="X180">
        <f>SQRT(($T180*1000+coord!$B$7*$R180*$U180*1000-coord!$B$2)^2+($U180*1000-coord!$B$7*$R180*$T180*1000-coord!$C$2)^2+($V180*1000-coord!$D$2)^2)</f>
        <v>22506124.28108386</v>
      </c>
      <c r="Y180" s="3">
        <f>$D180-(X180-$W180)-coord!$E$2</f>
        <v>-17.64381368085742</v>
      </c>
      <c r="Z180" s="3"/>
      <c r="AB180">
        <f>-(T180*1000-coord!$B$2)/$X180</f>
        <v>-0.19216371327631238</v>
      </c>
      <c r="AC180">
        <f>-(U180*1000-coord!$C$2)/$X180</f>
        <v>0.70693996783443391</v>
      </c>
      <c r="AD180">
        <f>-(V180*1000-coord!$D$2)/$X180</f>
        <v>-0.6806668739941234</v>
      </c>
      <c r="AE180">
        <v>1</v>
      </c>
      <c r="AG180">
        <v>-0.70250536224073845</v>
      </c>
      <c r="AH180">
        <v>-0.76098555293291259</v>
      </c>
      <c r="AI180">
        <v>-0.6806668739941234</v>
      </c>
      <c r="AJ180">
        <v>-0.33923895527261527</v>
      </c>
      <c r="AK180">
        <v>5.3441354320857754E-2</v>
      </c>
      <c r="AL180">
        <v>-0.85953090852631819</v>
      </c>
      <c r="AM180">
        <v>-9.124267845785855E-2</v>
      </c>
      <c r="AO180">
        <v>1.1207269394631554</v>
      </c>
      <c r="AP180">
        <v>-0.3807449890015342</v>
      </c>
      <c r="AQ180">
        <v>2.4009778453128789</v>
      </c>
      <c r="AR180">
        <v>-3.3807289771037086</v>
      </c>
      <c r="AT180">
        <v>1.7144322854384269</v>
      </c>
      <c r="AU180">
        <v>0.53803431635126819</v>
      </c>
      <c r="AV180">
        <v>2.6598097087187744</v>
      </c>
      <c r="AW180">
        <v>2.1009376409053133</v>
      </c>
      <c r="AY180">
        <v>24.921517425805781</v>
      </c>
      <c r="BA180">
        <v>15.00432095545635</v>
      </c>
      <c r="BD180">
        <f>SQRT(($T180*1000+coord!$B$7*$R180*$U180*1000-coord!$B$2-BA$178)^2+($U180*1000-coord!$B$7*$R180*$T180*1000-coord!$C$2-BA$179)^2+($V180*1000-coord!$D$2-BA$180)^2)</f>
        <v>22506091.77452172</v>
      </c>
      <c r="BE180" s="3">
        <f t="shared" si="111"/>
        <v>3.4051602882070355</v>
      </c>
      <c r="BG180" s="1"/>
      <c r="BH180" s="1"/>
      <c r="BI180" s="1"/>
      <c r="BV180">
        <f>COS(RADIANS(BK178))</f>
        <v>0.702013781873289</v>
      </c>
      <c r="BW180">
        <v>0</v>
      </c>
      <c r="BX180">
        <f>SIN(RADIANS(BK178))</f>
        <v>0.71216335911078876</v>
      </c>
      <c r="BZ180" t="s">
        <v>95</v>
      </c>
      <c r="CA180">
        <v>0.68693759445058167</v>
      </c>
      <c r="CB180">
        <v>0.1447069150748713</v>
      </c>
      <c r="CC180">
        <v>0.71216335911078865</v>
      </c>
      <c r="CD180">
        <v>0</v>
      </c>
      <c r="CE180" s="1">
        <v>17.277592527429633</v>
      </c>
      <c r="CG180" s="1"/>
      <c r="CH180" s="1"/>
      <c r="CI180" s="1"/>
      <c r="CK180">
        <v>3.0779984191874044</v>
      </c>
      <c r="CL180">
        <v>0.66229331536628588</v>
      </c>
      <c r="CM180">
        <v>3.1497842928877455</v>
      </c>
      <c r="CN180">
        <v>2.9720897181082604</v>
      </c>
      <c r="CP180">
        <v>0.70201378187328911</v>
      </c>
      <c r="CQ180">
        <v>0</v>
      </c>
      <c r="CR180">
        <v>0.71216335911078865</v>
      </c>
      <c r="CS180">
        <v>0</v>
      </c>
      <c r="CU180" s="5">
        <v>-3.0994357704845932E-2</v>
      </c>
      <c r="CV180" s="5">
        <v>1.3598765834771265E-2</v>
      </c>
      <c r="CW180" s="5">
        <v>4.4533922148379901</v>
      </c>
      <c r="CX180" s="5">
        <v>2.9720897181082604</v>
      </c>
    </row>
    <row r="181" spans="1:111">
      <c r="A181">
        <v>48</v>
      </c>
      <c r="B181">
        <f t="shared" si="106"/>
        <v>0.65</v>
      </c>
      <c r="C181">
        <v>4</v>
      </c>
      <c r="D181">
        <f>tetto!D181*coord!$B$13-tetto!G181*coord!$B$14</f>
        <v>21315758.280653924</v>
      </c>
      <c r="E181" s="5">
        <f>90-DEGREES(ACOS((coord!$B$2*($T181*1000-coord!$B$2)+coord!$C$2*($U181*1000-coord!$C$2)+coord!$D$2*($V181*1000-coord!$D$2))/(SQRT(coord!$B$2^2+coord!$C$2^2+coord!$D$2^2)*SQRT(($T181*1000-coord!$B$2)^2+($U181*1000-coord!$C$2)^2+($V181*1000-coord!$D$2)^2))))</f>
        <v>52.005440207441019</v>
      </c>
      <c r="F181">
        <f>(coord!$C$2*($V181*1000-coord!$D$2)-coord!$D$2*($U181*1000-coord!$C$2))/(SQRT(coord!$B$2^2+coord!$C$2^2+coord!$D$2^2)*SQRT(($T181*1000-coord!$B$2)^2+($U181*1000-coord!$C$2)^2+($V181*1000-coord!$D$2)^2))</f>
        <v>0.30394616949499847</v>
      </c>
      <c r="G181">
        <f>(-coord!$B$2*($V181*1000-coord!$D$2)+coord!$D$2*($T181*1000-coord!$B$2))/(SQRT(coord!$B$2^2+coord!$C$2^2+coord!$D$2^2)*SQRT(($T181*1000-coord!$B$2)^2+($U181*1000-coord!$C$2)^2+($V181*1000-coord!$D$2)^2))</f>
        <v>0.38340028874086923</v>
      </c>
      <c r="H181">
        <f>(coord!$B$2*($U181*1000-coord!$C$2)-coord!$C$2*($T181*1000-coord!$B$2))/(SQRT(coord!$B$2^2+coord!$C$2^2+coord!$D$2^2)*SQRT(($T181*1000-coord!$B$2)^2+($U181*1000-coord!$C$2)^2+($V181*1000-coord!$D$2)^2))</f>
        <v>-0.37358783424989622</v>
      </c>
      <c r="I181">
        <f t="shared" si="107"/>
        <v>-0.5303576776348361</v>
      </c>
      <c r="J181">
        <f t="shared" si="108"/>
        <v>0.31251317065071793</v>
      </c>
      <c r="K181">
        <f t="shared" si="109"/>
        <v>-1.782470311333717E-3</v>
      </c>
      <c r="L181">
        <f t="shared" si="110"/>
        <v>239.49128875317049</v>
      </c>
      <c r="M181" s="5">
        <f>'sv04'!$AA$3+'sv04'!$Z$3*($B181)+'sv04'!$Y$3*($B181)^2+'sv04'!$X$3*($B181)^3+'sv04'!$W$3*($B181)^4+'sv04'!$V$3*($B181)^5+'sv04'!$U$3*($B181)^6+'sv04'!$T$3*($B181)^7+'sv04'!$S$3*($B181)^8</f>
        <v>22947.345313275469</v>
      </c>
      <c r="N181" s="5">
        <f>'sv04'!$AA$4+'sv04'!$Z$4*($B181)+'sv04'!$Y$4*($B181)^2+'sv04'!$X$4*($B181)^3+'sv04'!$W$4*($B181)^4+'sv04'!$V$4*($B181)^5+'sv04'!$U$4*($B181)^6+'sv04'!$T$4*($B181)^7+'sv04'!$S$4*($B181)^8</f>
        <v>-6733.012148507878</v>
      </c>
      <c r="O181" s="5">
        <f>'sv04'!$AA$5+'sv04'!$Z$5*($B181)+'sv04'!$Y$5*($B181)^2+'sv04'!$X$5*($B181)^3+'sv04'!$W$5*($B181)^4+'sv04'!$V$5*($B181)^5+'sv04'!$U$5*($B181)^6+'sv04'!$T$5*($B181)^7+'sv04'!$S$5*($B181)^8</f>
        <v>11759.351700601743</v>
      </c>
      <c r="P181" s="5">
        <f>'sv04'!$AA$6+'sv04'!$Z$6*$B181+'sv04'!$Y$6*$B181^2+'sv04'!$X$6*$B181^3+'sv04'!$W$6*$B181^4+'sv04'!$V$6*$B181^5+'sv04'!$U$6*$B181^6+'sv04'!$T$6*$B181^7+'sv04'!$S$6*$B181^8</f>
        <v>86.606697132098674</v>
      </c>
      <c r="R181">
        <f>SQRT(($M181*1000-coord!$B$2)^2+($N181*1000-coord!$C$2)^2+($O181*1000-coord!$D$2)^2)/coord!$B$6</f>
        <v>7.1188348994617262E-2</v>
      </c>
      <c r="T181" s="5">
        <f>'sv04'!$AA$3+'sv04'!$Z$3*($B181-$R181/3600)+'sv04'!$Y$3*($B181-$R181/3600)^2+'sv04'!$X$3*($B181-$R181/3600)^3+'sv04'!$W$3*($B181-$R181/3600)^4+'sv04'!$V$3*($B181-$R181/3600)^5+'sv04'!$U$3*($B181-$R181/3600)^6+'sv04'!$T$3*($B181-$R181/3600)^7+'sv04'!$S$3*($B181-$R181/3600)^8+N181*coord!$B$7*R181</f>
        <v>22947.204760166969</v>
      </c>
      <c r="U181" s="5">
        <f>'sv04'!$AA$4+'sv04'!$Z$4*($B181-$R181/3600)+'sv04'!$Y$4*($B181-$R181/3600)^2+'sv04'!$X$4*($B181-$R181/3600)^3+'sv04'!$W$4*($B181-$R181/3600)^4+'sv04'!$V$4*($B181-$R181/3600)^5+'sv04'!$U$4*($B181-$R181/3600)^6+'sv04'!$T$4*($B181-$R181/3600)^7+'sv04'!$S$4*($B181-$R181/3600)^8-M181*coord!$B$7*R181</f>
        <v>-6733.1593744037291</v>
      </c>
      <c r="V181" s="5">
        <f>'sv04'!$AA$5+'sv04'!$Z$5*($B181-$R181/3600)+'sv04'!$Y$5*($B181-$R181/3600)^2+'sv04'!$X$5*($B181-$R181/3600)^3+'sv04'!$W$5*($B181-$R181/3600)^4+'sv04'!$V$5*($B181-$R181/3600)^5+'sv04'!$U$5*($B181-$R181/3600)^6+'sv04'!$T$5*($B181-$R181/3600)^7+'sv04'!$S$5*($B181-$R181/3600)^8</f>
        <v>11759.536409975282</v>
      </c>
      <c r="W181">
        <f>coord!$B$6*P181/10^6</f>
        <v>25964.034612493411</v>
      </c>
      <c r="X181">
        <f>SQRT(($T181*1000+coord!$B$7*$R181*$U181*1000-coord!$B$2)^2+($U181*1000-coord!$B$7*$R181*$T181*1000-coord!$C$2)^2+($V181*1000-coord!$D$2)^2)</f>
        <v>21341735.738624711</v>
      </c>
      <c r="Y181" s="3">
        <f>$D181-(X181-$W181)-coord!$E$2</f>
        <v>-13.423358295112848</v>
      </c>
      <c r="Z181" s="3"/>
      <c r="AB181">
        <f>-(T181*1000-coord!$B$2)/$X181</f>
        <v>-0.86957906407676711</v>
      </c>
      <c r="AC181">
        <f>-(U181*1000-coord!$C$2)/$X181</f>
        <v>0.35881475065519686</v>
      </c>
      <c r="AD181">
        <f>-(V181*1000-coord!$D$2)/$X181</f>
        <v>-0.33923895527261527</v>
      </c>
      <c r="AE181">
        <v>1</v>
      </c>
      <c r="AG181">
        <v>1</v>
      </c>
      <c r="AH181">
        <v>1</v>
      </c>
      <c r="AI181">
        <v>1</v>
      </c>
      <c r="AJ181">
        <v>1</v>
      </c>
      <c r="AK181">
        <v>1</v>
      </c>
      <c r="AL181">
        <v>1</v>
      </c>
      <c r="AM181">
        <v>1</v>
      </c>
      <c r="AO181">
        <v>-3.2263113755538564</v>
      </c>
      <c r="AP181">
        <v>-0.34045290383202315</v>
      </c>
      <c r="AQ181">
        <v>-3.3807289771037086</v>
      </c>
      <c r="AR181">
        <v>7</v>
      </c>
      <c r="AT181">
        <v>2.0596084289288781</v>
      </c>
      <c r="AU181">
        <v>0.42193181140445224</v>
      </c>
      <c r="AV181">
        <v>2.1009376409053133</v>
      </c>
      <c r="AW181">
        <v>2.1273266822211565</v>
      </c>
      <c r="AY181">
        <v>-10.763298273086548</v>
      </c>
      <c r="BA181">
        <v>11.457588170774478</v>
      </c>
      <c r="BD181">
        <f>SQRT(($T181*1000+coord!$B$7*$R181*$U181*1000-coord!$B$2-BA$178)^2+($U181*1000-coord!$B$7*$R181*$T181*1000-coord!$C$2-BA$179)^2+($V181*1000-coord!$D$2-BA$180)^2)</f>
        <v>21341707.474595521</v>
      </c>
      <c r="BE181" s="3">
        <f t="shared" si="111"/>
        <v>3.3830827240569405</v>
      </c>
      <c r="BG181" s="1"/>
      <c r="BH181" s="1"/>
      <c r="BI181" s="1"/>
      <c r="CA181">
        <v>0</v>
      </c>
      <c r="CB181">
        <v>0</v>
      </c>
      <c r="CC181">
        <v>0</v>
      </c>
      <c r="CD181">
        <v>1</v>
      </c>
      <c r="CG181" s="1"/>
      <c r="CH181" s="1"/>
      <c r="CI181" s="1"/>
      <c r="CK181">
        <v>2.0596084289288781</v>
      </c>
      <c r="CL181">
        <v>0.42193181140445224</v>
      </c>
      <c r="CM181">
        <v>2.1009376409053133</v>
      </c>
      <c r="CN181">
        <v>2.1273266822211565</v>
      </c>
      <c r="CP181">
        <v>0</v>
      </c>
      <c r="CQ181">
        <v>0</v>
      </c>
      <c r="CR181">
        <v>0</v>
      </c>
      <c r="CS181">
        <v>1</v>
      </c>
      <c r="CU181" s="5">
        <v>-2.2329698826527578E-2</v>
      </c>
      <c r="CV181" s="5">
        <v>-1.1678913827405712E-2</v>
      </c>
      <c r="CW181" s="5">
        <v>2.9720897181082595</v>
      </c>
      <c r="CX181" s="5">
        <v>2.1273266822211565</v>
      </c>
    </row>
    <row r="182" spans="1:111">
      <c r="A182">
        <v>48</v>
      </c>
      <c r="B182">
        <f t="shared" si="106"/>
        <v>0.65</v>
      </c>
      <c r="C182">
        <v>20</v>
      </c>
      <c r="D182">
        <f>tetto!D182*coord!$B$13-tetto!G182*coord!$B$14</f>
        <v>23472911.683337487</v>
      </c>
      <c r="E182" s="5">
        <f>90-DEGREES(ACOS((coord!$B$2*($T182*1000-coord!$B$2)+coord!$C$2*($U182*1000-coord!$C$2)+coord!$D$2*($V182*1000-coord!$D$2))/(SQRT(coord!$B$2^2+coord!$C$2^2+coord!$D$2^2)*SQRT(($T182*1000-coord!$B$2)^2+($U182*1000-coord!$C$2)^2+($V182*1000-coord!$D$2)^2))))</f>
        <v>22.332540727965508</v>
      </c>
      <c r="F182">
        <f>(coord!$C$2*($V182*1000-coord!$D$2)-coord!$D$2*($U182*1000-coord!$C$2))/(SQRT(coord!$B$2^2+coord!$C$2^2+coord!$D$2^2)*SQRT(($T182*1000-coord!$B$2)^2+($U182*1000-coord!$C$2)^2+($V182*1000-coord!$D$2)^2))</f>
        <v>-0.65244550447035343</v>
      </c>
      <c r="G182">
        <f>(-coord!$B$2*($V182*1000-coord!$D$2)+coord!$D$2*($T182*1000-coord!$B$2))/(SQRT(coord!$B$2^2+coord!$C$2^2+coord!$D$2^2)*SQRT(($T182*1000-coord!$B$2)^2+($U182*1000-coord!$C$2)^2+($V182*1000-coord!$D$2)^2))</f>
        <v>0.33138550967853664</v>
      </c>
      <c r="H182">
        <f>(coord!$B$2*($U182*1000-coord!$C$2)-coord!$C$2*($T182*1000-coord!$B$2))/(SQRT(coord!$B$2^2+coord!$C$2^2+coord!$D$2^2)*SQRT(($T182*1000-coord!$B$2)^2+($U182*1000-coord!$C$2)^2+($V182*1000-coord!$D$2)^2))</f>
        <v>0.56578486925730032</v>
      </c>
      <c r="I182">
        <f t="shared" si="107"/>
        <v>0.80321037090919634</v>
      </c>
      <c r="J182">
        <f t="shared" si="108"/>
        <v>0.45875902343846264</v>
      </c>
      <c r="K182">
        <f t="shared" si="109"/>
        <v>2.6961243809266455E-3</v>
      </c>
      <c r="L182">
        <f t="shared" si="110"/>
        <v>119.73313927110217</v>
      </c>
      <c r="M182" s="5">
        <f>'sv20'!$AA$3+'sv20'!$Z$3*($B182)+'sv20'!$Y$3*($B182)^2+'sv20'!$X$3*($B182)^3+'sv20'!$W$3*($B182)^4+'sv20'!$V$3*($B182)^5+'sv20'!$U$3*($B182)^6+'sv20'!$T$3*($B182)^7+'sv20'!$S$3*($B182)^8</f>
        <v>14136.352580473438</v>
      </c>
      <c r="N182" s="5">
        <f>'sv20'!$AA$4+'sv20'!$Z$4*($B182)+'sv20'!$Y$4*($B182)^2+'sv20'!$X$4*($B182)^3+'sv20'!$W$4*($B182)^4+'sv20'!$V$4*($B182)^5+'sv20'!$U$4*($B182)^6+'sv20'!$T$4*($B182)^7+'sv20'!$S$4*($B182)^8</f>
        <v>22259.433838702906</v>
      </c>
      <c r="O182" s="5">
        <f>'sv20'!$AA$5+'sv20'!$Z$5*($B182)+'sv20'!$Y$5*($B182)^2+'sv20'!$X$5*($B182)^3+'sv20'!$W$5*($B182)^4+'sv20'!$V$5*($B182)^5+'sv20'!$U$5*($B182)^6+'sv20'!$T$5*($B182)^7+'sv20'!$S$5*($B182)^8</f>
        <v>3264.0299678292045</v>
      </c>
      <c r="P182" s="5">
        <f>'sv20'!$AA$6+'sv20'!$Z$6*$B182+'sv20'!$Y$6*$B182^2+'sv20'!$X$6*$B182^3+'sv20'!$W$6*$B182^4+'sv20'!$V$6*$B182^5+'sv20'!$U$6*$B182^6+'sv20'!$T$6*$B182^7+'sv20'!$S$6*$B182^8</f>
        <v>55.817562069782291</v>
      </c>
      <c r="R182">
        <f>SQRT(($M182*1000-coord!$B$2)^2+($N182*1000-coord!$C$2)^2+($O182*1000-coord!$D$2)^2)/coord!$B$6</f>
        <v>7.8353211223791464E-2</v>
      </c>
      <c r="T182" s="5">
        <f>'sv20'!$AA$3+'sv20'!$Z$3*($B182-$R182/3600)+'sv20'!$Y$3*($B182-$R182/3600)^2+'sv20'!$X$3*($B182-$R182/3600)^3+'sv20'!$W$3*($B182-$R182/3600)^4+'sv20'!$V$3*($B182-$R182/3600)^5+'sv20'!$U$3*($B182-$R182/3600)^6+'sv20'!$T$3*($B182-$R182/3600)^7+'sv20'!$S$3*($B182-$R182/3600)^8+N182*coord!$B$7*R182</f>
        <v>14136.488569038336</v>
      </c>
      <c r="U182" s="5">
        <f>'sv20'!$AA$4+'sv20'!$Z$4*($B182-$R182/3600)+'sv20'!$Y$4*($B182-$R182/3600)^2+'sv20'!$X$4*($B182-$R182/3600)^3+'sv20'!$W$4*($B182-$R182/3600)^4+'sv20'!$V$4*($B182-$R182/3600)^5+'sv20'!$U$4*($B182-$R182/3600)^6+'sv20'!$T$4*($B182-$R182/3600)^7+'sv20'!$S$4*($B182-$R182/3600)^8-M182*coord!$B$7*R182</f>
        <v>22259.310510956013</v>
      </c>
      <c r="V182" s="5">
        <f>'sv20'!$AA$5+'sv20'!$Z$5*($B182-$R182/3600)+'sv20'!$Y$5*($B182-$R182/3600)^2+'sv20'!$X$5*($B182-$R182/3600)^3+'sv20'!$W$5*($B182-$R182/3600)^4+'sv20'!$V$5*($B182-$R182/3600)^5+'sv20'!$U$5*($B182-$R182/3600)^6+'sv20'!$T$5*($B182-$R182/3600)^7+'sv20'!$S$5*($B182-$R182/3600)^8</f>
        <v>3264.2715587711073</v>
      </c>
      <c r="W182">
        <f>coord!$B$6*P182/10^6</f>
        <v>16733.684132467599</v>
      </c>
      <c r="X182">
        <f>SQRT(($T182*1000+coord!$B$7*$R182*$U182*1000-coord!$B$2)^2+($U182*1000-coord!$B$7*$R182*$T182*1000-coord!$C$2)^2+($V182*1000-coord!$D$2)^2)</f>
        <v>23489612.706894889</v>
      </c>
      <c r="Y182" s="3">
        <f>$D182-(X182-$W182)-coord!$E$2</f>
        <v>32.660575065761805</v>
      </c>
      <c r="Z182" s="3"/>
      <c r="AB182">
        <f>-(T182*1000-coord!$B$2)/$X182</f>
        <v>-0.41497535612313979</v>
      </c>
      <c r="AC182">
        <f>-(U182*1000-coord!$C$2)/$X182</f>
        <v>-0.90826275273128032</v>
      </c>
      <c r="AD182">
        <f>-(V182*1000-coord!$D$2)/$X182</f>
        <v>5.3441354320857754E-2</v>
      </c>
      <c r="AE182">
        <v>1</v>
      </c>
      <c r="BD182">
        <f>SQRT(($T182*1000+coord!$B$7*$R182*$U182*1000-coord!$B$2-BA$178)^2+($U182*1000-coord!$B$7*$R182*$T182*1000-coord!$C$2-BA$179)^2+($V182*1000-coord!$D$2-BA$180)^2)</f>
        <v>23489631.984856937</v>
      </c>
      <c r="BE182" s="3">
        <f t="shared" si="111"/>
        <v>1.9250248473806195</v>
      </c>
      <c r="BG182" s="1"/>
      <c r="BH182" s="1"/>
      <c r="BI182" s="1"/>
      <c r="CG182" s="1"/>
      <c r="CH182" s="1"/>
      <c r="CI182" s="1"/>
    </row>
    <row r="183" spans="1:111">
      <c r="A183">
        <v>48</v>
      </c>
      <c r="B183">
        <f t="shared" si="106"/>
        <v>0.65</v>
      </c>
      <c r="C183">
        <v>13</v>
      </c>
      <c r="D183">
        <f>tetto!D183*coord!$B$13-tetto!G183*coord!$B$14</f>
        <v>20250330.443035647</v>
      </c>
      <c r="E183" s="5">
        <f>90-DEGREES(ACOS((coord!$B$2*($T183*1000-coord!$B$2)+coord!$C$2*($U183*1000-coord!$C$2)+coord!$D$2*($V183*1000-coord!$D$2))/(SQRT(coord!$B$2^2+coord!$C$2^2+coord!$D$2^2)*SQRT(($T183*1000-coord!$B$2)^2+($U183*1000-coord!$C$2)^2+($V183*1000-coord!$D$2)^2))))</f>
        <v>71.07857923289248</v>
      </c>
      <c r="F183">
        <f>(coord!$C$2*($V183*1000-coord!$D$2)-coord!$D$2*($U183*1000-coord!$C$2))/(SQRT(coord!$B$2^2+coord!$C$2^2+coord!$D$2^2)*SQRT(($T183*1000-coord!$B$2)^2+($U183*1000-coord!$C$2)^2+($V183*1000-coord!$D$2)^2))</f>
        <v>-7.2757431481502724E-2</v>
      </c>
      <c r="G183">
        <f>(-coord!$B$2*($V183*1000-coord!$D$2)+coord!$D$2*($T183*1000-coord!$B$2))/(SQRT(coord!$B$2^2+coord!$C$2^2+coord!$D$2^2)*SQRT(($T183*1000-coord!$B$2)^2+($U183*1000-coord!$C$2)^2+($V183*1000-coord!$D$2)^2))</f>
        <v>-0.2882001040883152</v>
      </c>
      <c r="H183">
        <f>(coord!$B$2*($U183*1000-coord!$C$2)-coord!$C$2*($T183*1000-coord!$B$2))/(SQRT(coord!$B$2^2+coord!$C$2^2+coord!$D$2^2)*SQRT(($T183*1000-coord!$B$2)^2+($U183*1000-coord!$C$2)^2+($V183*1000-coord!$D$2)^2))</f>
        <v>0.12961019874416924</v>
      </c>
      <c r="I183">
        <f t="shared" si="107"/>
        <v>0.18399835591871289</v>
      </c>
      <c r="J183">
        <f t="shared" si="108"/>
        <v>-0.26701305088925487</v>
      </c>
      <c r="K183">
        <f t="shared" si="109"/>
        <v>6.1897078053611831E-4</v>
      </c>
      <c r="L183">
        <f t="shared" si="110"/>
        <v>34.57067767255613</v>
      </c>
      <c r="M183" s="5">
        <f>'sv13'!$AA$3+'sv13'!$Z$3*($B183)+'sv13'!$Y$3*($B183)^2+'sv13'!$X$3*($B183)^3+'sv13'!$W$3*($B183)^4+'sv13'!$V$3*($B183)^5+'sv13'!$U$3*($B183)^6+'sv13'!$T$3*($B183)^7+'sv13'!$S$3*($B183)^8</f>
        <v>13107.988628520237</v>
      </c>
      <c r="N183" s="5">
        <f>'sv13'!$AA$4+'sv13'!$Z$4*($B183)+'sv13'!$Y$4*($B183)^2+'sv13'!$X$4*($B183)^3+'sv13'!$W$4*($B183)^4+'sv13'!$V$4*($B183)^5+'sv13'!$U$4*($B183)^6+'sv13'!$T$4*($B183)^7+'sv13'!$S$4*($B183)^8</f>
        <v>6586.6027938599873</v>
      </c>
      <c r="O183" s="5">
        <f>'sv13'!$AA$5+'sv13'!$Z$5*($B183)+'sv13'!$Y$5*($B183)^2+'sv13'!$X$5*($B183)^3+'sv13'!$W$5*($B183)^4+'sv13'!$V$5*($B183)^5+'sv13'!$U$5*($B183)^6+'sv13'!$T$5*($B183)^7+'sv13'!$S$5*($B183)^8</f>
        <v>22003.788133108486</v>
      </c>
      <c r="P183" s="5">
        <f>'sv13'!$AA$6+'sv13'!$Z$6*$B183+'sv13'!$Y$6*$B183^2+'sv13'!$X$6*$B183^3+'sv13'!$W$6*$B183^4+'sv13'!$V$6*$B183^5+'sv13'!$U$6*$B183^6+'sv13'!$T$6*$B183^7+'sv13'!$S$6*$B183^8</f>
        <v>304.21913127402325</v>
      </c>
      <c r="R183">
        <f>SQRT(($M183*1000-coord!$B$2)^2+($N183*1000-coord!$C$2)^2+($O183*1000-coord!$D$2)^2)/coord!$B$6</f>
        <v>6.7852114456296617E-2</v>
      </c>
      <c r="T183" s="5">
        <f>'sv13'!$AA$3+'sv13'!$Z$3*($B183-$R183/3600)+'sv13'!$Y$3*($B183-$R183/3600)^2+'sv13'!$X$3*($B183-$R183/3600)^3+'sv13'!$W$3*($B183-$R183/3600)^4+'sv13'!$V$3*($B183-$R183/3600)^5+'sv13'!$U$3*($B183-$R183/3600)^6+'sv13'!$T$3*($B183-$R183/3600)^7+'sv13'!$S$3*($B183-$R183/3600)^8+N183*coord!$B$7*R183</f>
        <v>13108.139348150773</v>
      </c>
      <c r="U183" s="5">
        <f>'sv13'!$AA$4+'sv13'!$Z$4*($B183-$R183/3600)+'sv13'!$Y$4*($B183-$R183/3600)^2+'sv13'!$X$4*($B183-$R183/3600)^3+'sv13'!$W$4*($B183-$R183/3600)^4+'sv13'!$V$4*($B183-$R183/3600)^5+'sv13'!$U$4*($B183-$R183/3600)^6+'sv13'!$T$4*($B183-$R183/3600)^7+'sv13'!$S$4*($B183-$R183/3600)^8-M183*coord!$B$7*R183</f>
        <v>6586.3875064530321</v>
      </c>
      <c r="V183" s="5">
        <f>'sv13'!$AA$5+'sv13'!$Z$5*($B183-$R183/3600)+'sv13'!$Y$5*($B183-$R183/3600)^2+'sv13'!$X$5*($B183-$R183/3600)^3+'sv13'!$W$5*($B183-$R183/3600)^4+'sv13'!$V$5*($B183-$R183/3600)^5+'sv13'!$U$5*($B183-$R183/3600)^6+'sv13'!$T$5*($B183-$R183/3600)^7+'sv13'!$S$5*($B183-$R183/3600)^8</f>
        <v>22003.763153145464</v>
      </c>
      <c r="W183">
        <f>coord!$B$6*P183/10^6</f>
        <v>91202.601135264093</v>
      </c>
      <c r="X183">
        <f>SQRT(($T183*1000+coord!$B$7*$R183*$U183*1000-coord!$B$2)^2+($U183*1000-coord!$B$7*$R183*$T183*1000-coord!$C$2)^2+($V183*1000-coord!$D$2)^2)</f>
        <v>20341531.299697429</v>
      </c>
      <c r="Y183" s="3">
        <f>$D183-(X183-$W183)-coord!$E$2</f>
        <v>1.7444734834134579</v>
      </c>
      <c r="Z183" s="3"/>
      <c r="AB183">
        <f>-(T183*1000-coord!$B$2)/$X183</f>
        <v>-0.42864330363764047</v>
      </c>
      <c r="AC183">
        <f>-(U183*1000-coord!$C$2)/$X183</f>
        <v>-0.27833781094628057</v>
      </c>
      <c r="AD183">
        <f>-(V183*1000-coord!$D$2)/$X183</f>
        <v>-0.85953090852631819</v>
      </c>
      <c r="AE183">
        <v>1</v>
      </c>
      <c r="BD183">
        <f>SQRT(($T183*1000+coord!$B$7*$R183*$U183*1000-coord!$B$2-BA$178)^2+($U183*1000-coord!$B$7*$R183*$T183*1000-coord!$C$2-BA$179)^2+($V183*1000-coord!$D$2-BA$180)^2)</f>
        <v>20341519.434402641</v>
      </c>
      <c r="BE183" s="3">
        <f t="shared" si="111"/>
        <v>2.1521801006717496</v>
      </c>
      <c r="BG183" s="1"/>
      <c r="BH183" s="1"/>
      <c r="BI183" s="1"/>
      <c r="CG183" s="1"/>
      <c r="CH183" s="1"/>
      <c r="CI183" s="1"/>
    </row>
    <row r="184" spans="1:111">
      <c r="A184">
        <v>48</v>
      </c>
      <c r="B184">
        <f t="shared" si="106"/>
        <v>0.65</v>
      </c>
      <c r="C184">
        <v>7</v>
      </c>
      <c r="D184">
        <f>tetto!D184*coord!$B$13-tetto!G184*coord!$B$14</f>
        <v>21457773.874249458</v>
      </c>
      <c r="E184" s="5">
        <f>90-DEGREES(ACOS((coord!$B$2*($T184*1000-coord!$B$2)+coord!$C$2*($U184*1000-coord!$C$2)+coord!$D$2*($V184*1000-coord!$D$2))/(SQRT(coord!$B$2^2+coord!$C$2^2+coord!$D$2^2)*SQRT(($T184*1000-coord!$B$2)^2+($U184*1000-coord!$C$2)^2+($V184*1000-coord!$D$2)^2))))</f>
        <v>49.910730249170911</v>
      </c>
      <c r="F184">
        <f>(coord!$C$2*($V184*1000-coord!$D$2)-coord!$D$2*($U184*1000-coord!$C$2))/(SQRT(coord!$B$2^2+coord!$C$2^2+coord!$D$2^2)*SQRT(($T184*1000-coord!$B$2)^2+($U184*1000-coord!$C$2)^2+($V184*1000-coord!$D$2)^2))</f>
        <v>-0.17241009693416451</v>
      </c>
      <c r="G184">
        <f>(-coord!$B$2*($V184*1000-coord!$D$2)+coord!$D$2*($T184*1000-coord!$B$2))/(SQRT(coord!$B$2^2+coord!$C$2^2+coord!$D$2^2)*SQRT(($T184*1000-coord!$B$2)^2+($U184*1000-coord!$C$2)^2+($V184*1000-coord!$D$2)^2))</f>
        <v>0.61913116682987035</v>
      </c>
      <c r="H184">
        <f>(coord!$B$2*($U184*1000-coord!$C$2)-coord!$C$2*($T184*1000-coord!$B$2))/(SQRT(coord!$B$2^2+coord!$C$2^2+coord!$D$2^2)*SQRT(($T184*1000-coord!$B$2)^2+($U184*1000-coord!$C$2)^2+($V184*1000-coord!$D$2)^2))</f>
        <v>4.0768464904858331E-2</v>
      </c>
      <c r="I184">
        <f t="shared" si="107"/>
        <v>5.7878735344462945E-2</v>
      </c>
      <c r="J184">
        <f t="shared" si="108"/>
        <v>0.64137409216143182</v>
      </c>
      <c r="K184">
        <f t="shared" si="109"/>
        <v>1.9207990058879229E-4</v>
      </c>
      <c r="L184">
        <f t="shared" si="110"/>
        <v>174.84349446086225</v>
      </c>
      <c r="M184" s="5">
        <f>'sv07'!$AA$3+'sv07'!$Z$3*($B184)+'sv07'!$Y$3*($B184)^2+'sv07'!$X$3*($B184)^3+'sv07'!$W$3*($B184)^4+'sv07'!$V$3*($B184)^5+'sv07'!$U$3*($B184)^6+'sv07'!$T$3*($B184)^7+'sv07'!$S$3*($B184)^8</f>
        <v>25006.596210362572</v>
      </c>
      <c r="N184" s="5">
        <f>'sv07'!$AA$4+'sv07'!$Z$4*($B184)+'sv07'!$Y$4*($B184)^2+'sv07'!$X$4*($B184)^3+'sv07'!$W$4*($B184)^4+'sv07'!$V$4*($B184)^5+'sv07'!$U$4*($B184)^6+'sv07'!$T$4*($B184)^7+'sv07'!$S$4*($B184)^8</f>
        <v>6537.25509047379</v>
      </c>
      <c r="O184" s="5">
        <f>'sv07'!$AA$5+'sv07'!$Z$5*($B184)+'sv07'!$Y$5*($B184)^2+'sv07'!$X$5*($B184)^3+'sv07'!$W$5*($B184)^4+'sv07'!$V$5*($B184)^5+'sv07'!$U$5*($B184)^6+'sv07'!$T$5*($B184)^7+'sv07'!$S$5*($B184)^8</f>
        <v>6477.6537852872898</v>
      </c>
      <c r="P184" s="5">
        <f>'sv07'!$AA$6+'sv07'!$Z$6*$B184+'sv07'!$Y$6*$B184^2+'sv07'!$X$6*$B184^3+'sv07'!$W$6*$B184^4+'sv07'!$V$6*$B184^5+'sv07'!$U$6*$B184^6+'sv07'!$T$6*$B184^7+'sv07'!$S$6*$B184^8</f>
        <v>-0.63810139267403687</v>
      </c>
      <c r="R184">
        <f>SQRT(($M184*1000-coord!$B$2)^2+($N184*1000-coord!$C$2)^2+($O184*1000-coord!$D$2)^2)/coord!$B$6</f>
        <v>7.1574690066795718E-2</v>
      </c>
      <c r="T184" s="5">
        <f>'sv07'!$AA$3+'sv07'!$Z$3*($B184-$R184/3600)+'sv07'!$Y$3*($B184-$R184/3600)^2+'sv07'!$X$3*($B184-$R184/3600)^3+'sv07'!$W$3*($B184-$R184/3600)^4+'sv07'!$V$3*($B184-$R184/3600)^5+'sv07'!$U$3*($B184-$R184/3600)^6+'sv07'!$T$3*($B184-$R184/3600)^7+'sv07'!$S$3*($B184-$R184/3600)^8+N184*coord!$B$7*R184</f>
        <v>25006.690098695079</v>
      </c>
      <c r="U184" s="5">
        <f>'sv07'!$AA$4+'sv07'!$Z$4*($B184-$R184/3600)+'sv07'!$Y$4*($B184-$R184/3600)^2+'sv07'!$X$4*($B184-$R184/3600)^3+'sv07'!$W$4*($B184-$R184/3600)^4+'sv07'!$V$4*($B184-$R184/3600)^5+'sv07'!$U$4*($B184-$R184/3600)^6+'sv07'!$T$4*($B184-$R184/3600)^7+'sv07'!$S$4*($B184-$R184/3600)^8-M184*coord!$B$7*R184</f>
        <v>6537.1135705730831</v>
      </c>
      <c r="V184" s="5">
        <f>'sv07'!$AA$5+'sv07'!$Z$5*($B184-$R184/3600)+'sv07'!$Y$5*($B184-$R184/3600)^2+'sv07'!$X$5*($B184-$R184/3600)^3+'sv07'!$W$5*($B184-$R184/3600)^4+'sv07'!$V$5*($B184-$R184/3600)^5+'sv07'!$U$5*($B184-$R184/3600)^6+'sv07'!$T$5*($B184-$R184/3600)^7+'sv07'!$S$5*($B184-$R184/3600)^8</f>
        <v>6477.4357309408533</v>
      </c>
      <c r="W184">
        <f>coord!$B$6*P184/10^6</f>
        <v>-191.29798496297269</v>
      </c>
      <c r="X184">
        <f>SQRT(($T184*1000+coord!$B$7*$R184*$U184*1000-coord!$B$2)^2+($U184*1000-coord!$B$7*$R184*$T184*1000-coord!$C$2)^2+($V184*1000-coord!$D$2)^2)</f>
        <v>21457584.210935973</v>
      </c>
      <c r="Y184" s="3">
        <f>$D184-(X184-$W184)-coord!$E$2</f>
        <v>-1.634671475738287</v>
      </c>
      <c r="Z184" s="3" t="s">
        <v>127</v>
      </c>
      <c r="AA184" s="1" t="s">
        <v>128</v>
      </c>
      <c r="AB184">
        <f>-(T184*1000-coord!$B$2)/$X184</f>
        <v>-0.96086361471144077</v>
      </c>
      <c r="AC184">
        <f>-(U184*1000-coord!$C$2)/$X184</f>
        <v>-0.26156454996050393</v>
      </c>
      <c r="AD184">
        <f>-(V184*1000-coord!$D$2)/$X184</f>
        <v>-9.124267845785855E-2</v>
      </c>
      <c r="AE184">
        <v>1</v>
      </c>
      <c r="BD184">
        <f>SQRT(($T184*1000+coord!$B$7*$R184*$U184*1000-coord!$B$2-BA$178)^2+($U184*1000-coord!$B$7*$R184*$T184*1000-coord!$C$2-BA$179)^2+($V184*1000-coord!$D$2-BA$180)^2)</f>
        <v>21457575.239450339</v>
      </c>
      <c r="BE184" s="3">
        <f t="shared" si="111"/>
        <v>-4.1207740131097026</v>
      </c>
      <c r="BF184" s="3" t="s">
        <v>127</v>
      </c>
      <c r="BG184" s="1" t="s">
        <v>128</v>
      </c>
      <c r="BH184" s="1"/>
      <c r="BI184" s="1"/>
      <c r="CG184" s="1"/>
      <c r="CH184" s="1"/>
      <c r="CI184" s="1"/>
    </row>
    <row r="185" spans="1:111">
      <c r="Y185" s="3"/>
      <c r="Z185" s="3">
        <f>AVERAGE($Y178:$Y184)</f>
        <v>-1.537614039012364</v>
      </c>
      <c r="AA185" s="1">
        <f>SQRT(DEVSQ($Y178:$Y184)/6)</f>
        <v>20.045528762243304</v>
      </c>
      <c r="BE185" s="3"/>
      <c r="BF185" s="3">
        <f>AVERAGE($BE178:$BE184)</f>
        <v>8.6755106294284754E-5</v>
      </c>
      <c r="BG185" s="1">
        <f>SQRT(DEVSQ($BE178:$BE184)/6)</f>
        <v>3.5775535762057116</v>
      </c>
      <c r="BH185" s="1"/>
      <c r="BI185" s="1"/>
      <c r="CG185" s="1"/>
      <c r="CH185" s="1"/>
      <c r="CI185" s="1"/>
    </row>
    <row r="186" spans="1:111">
      <c r="A186">
        <v>50</v>
      </c>
      <c r="B186">
        <f t="shared" ref="B186:B192" si="112">(60-45)/60+30*A186/3600</f>
        <v>0.66666666666666674</v>
      </c>
      <c r="C186">
        <v>2</v>
      </c>
      <c r="D186">
        <f>tetto!D186*coord!$B$13-tetto!G186*coord!$B$14</f>
        <v>22297020.111136541</v>
      </c>
      <c r="E186" s="5">
        <f>90-DEGREES(ACOS((coord!$B$2*($T186*1000-coord!$B$2)+coord!$C$2*($U186*1000-coord!$C$2)+coord!$D$2*($V186*1000-coord!$D$2))/(SQRT(coord!$B$2^2+coord!$C$2^2+coord!$D$2^2)*SQRT(($T186*1000-coord!$B$2)^2+($U186*1000-coord!$C$2)^2+($V186*1000-coord!$D$2)^2))))</f>
        <v>33.869802535172234</v>
      </c>
      <c r="F186">
        <f>(coord!$C$2*($V186*1000-coord!$D$2)-coord!$D$2*($U186*1000-coord!$C$2))/(SQRT(coord!$B$2^2+coord!$C$2^2+coord!$D$2^2)*SQRT(($T186*1000-coord!$B$2)^2+($U186*1000-coord!$C$2)^2+($V186*1000-coord!$D$2)^2))</f>
        <v>0.58139071956228294</v>
      </c>
      <c r="G186">
        <f>(-coord!$B$2*($V186*1000-coord!$D$2)+coord!$D$2*($T186*1000-coord!$B$2))/(SQRT(coord!$B$2^2+coord!$C$2^2+coord!$D$2^2)*SQRT(($T186*1000-coord!$B$2)^2+($U186*1000-coord!$C$2)^2+($V186*1000-coord!$D$2)^2))</f>
        <v>-0.31972017593411994</v>
      </c>
      <c r="H186">
        <f>(coord!$B$2*($U186*1000-coord!$C$2)-coord!$C$2*($T186*1000-coord!$B$2))/(SQRT(coord!$B$2^2+coord!$C$2^2+coord!$D$2^2)*SQRT(($T186*1000-coord!$B$2)^2+($U186*1000-coord!$C$2)^2+($V186*1000-coord!$D$2)^2))</f>
        <v>-0.49917141775802087</v>
      </c>
      <c r="I186">
        <f t="shared" ref="I186:I192" si="113">$F186*$CA$2+$G186*$CB$2+$H186*$CC$2</f>
        <v>-0.7086434071219001</v>
      </c>
      <c r="J186">
        <f t="shared" ref="J186:J192" si="114">$F186*$CA$3+$G186*$CB$3+$H186*$CC$3</f>
        <v>-0.43269750154478542</v>
      </c>
      <c r="K186">
        <f t="shared" ref="K186:K192" si="115">$F186*$CA$4+$G186*$CB$4+$H186*$CC$4</f>
        <v>-2.3785917286746061E-3</v>
      </c>
      <c r="L186">
        <f t="shared" ref="L186:L192" si="116">90+DEGREES(ATAN2(I186,J186))</f>
        <v>-58.591770580100672</v>
      </c>
      <c r="M186" s="5">
        <f>'sv02'!$AA$3+'sv02'!$Z$3*($B186)+'sv02'!$Y$3*($B186)^2+'sv02'!$X$3*($B186)^3+'sv02'!$W$3*($B186)^4+'sv02'!$V$3*($B186)^5+'sv02'!$U$3*($B186)^6+'sv02'!$T$3*($B186)^7+'sv02'!$S$3*($B186)^8</f>
        <v>9528.0876264403905</v>
      </c>
      <c r="N186" s="5">
        <f>'sv02'!$AA$4+'sv02'!$Z$4*($B186)+'sv02'!$Y$4*($B186)^2+'sv02'!$X$4*($B186)^3+'sv02'!$W$4*($B186)^4+'sv02'!$V$4*($B186)^5+'sv02'!$U$4*($B186)^6+'sv02'!$T$4*($B186)^7+'sv02'!$S$4*($B186)^8</f>
        <v>-14196.193907005671</v>
      </c>
      <c r="O186" s="5">
        <f>'sv02'!$AA$5+'sv02'!$Z$5*($B186)+'sv02'!$Y$5*($B186)^2+'sv02'!$X$5*($B186)^3+'sv02'!$W$5*($B186)^4+'sv02'!$V$5*($B186)^5+'sv02'!$U$5*($B186)^6+'sv02'!$T$5*($B186)^7+'sv02'!$S$5*($B186)^8</f>
        <v>20189.81588957697</v>
      </c>
      <c r="P186" s="5">
        <f>'sv02'!$AA$6+'sv02'!$Z$6*$B186+'sv02'!$Y$6*$B186^2+'sv02'!$X$6*$B186^3+'sv02'!$W$6*$B186^4+'sv02'!$V$6*$B186^5+'sv02'!$U$6*$B186^6+'sv02'!$T$6*$B186^7+'sv02'!$S$6*$B186^8</f>
        <v>257.59462152837136</v>
      </c>
      <c r="R186">
        <f>SQRT(($M186*1000-coord!$B$2)^2+($N186*1000-coord!$C$2)^2+($O186*1000-coord!$D$2)^2)/coord!$B$6</f>
        <v>7.4632311897338821E-2</v>
      </c>
      <c r="T186" s="5">
        <f>'sv02'!$AA$3+'sv02'!$Z$3*($B186-$R186/3600)+'sv02'!$Y$3*($B186-$R186/3600)^2+'sv02'!$X$3*($B186-$R186/3600)^3+'sv02'!$W$3*($B186-$R186/3600)^4+'sv02'!$V$3*($B186-$R186/3600)^5+'sv02'!$U$3*($B186-$R186/3600)^6+'sv02'!$T$3*($B186-$R186/3600)^7+'sv02'!$S$3*($B186-$R186/3600)^8+N186*coord!$B$7*R186</f>
        <v>9527.8181513348882</v>
      </c>
      <c r="U186" s="5">
        <f>'sv02'!$AA$4+'sv02'!$Z$4*($B186-$R186/3600)+'sv02'!$Y$4*($B186-$R186/3600)^2+'sv02'!$X$4*($B186-$R186/3600)^3+'sv02'!$W$4*($B186-$R186/3600)^4+'sv02'!$V$4*($B186-$R186/3600)^5+'sv02'!$U$4*($B186-$R186/3600)^6+'sv02'!$T$4*($B186-$R186/3600)^7+'sv02'!$S$4*($B186-$R186/3600)^8-M186*coord!$B$7*R186</f>
        <v>-14196.267699874905</v>
      </c>
      <c r="V186" s="5">
        <f>'sv02'!$AA$5+'sv02'!$Z$5*($B186-$R186/3600)+'sv02'!$Y$5*($B186-$R186/3600)^2+'sv02'!$X$5*($B186-$R186/3600)^3+'sv02'!$W$5*($B186-$R186/3600)^4+'sv02'!$V$5*($B186-$R186/3600)^5+'sv02'!$U$5*($B186-$R186/3600)^6+'sv02'!$T$5*($B186-$R186/3600)^7+'sv02'!$S$5*($B186-$R186/3600)^8</f>
        <v>20189.894491035488</v>
      </c>
      <c r="W186">
        <f>coord!$B$6*P186/10^6</f>
        <v>77224.924755570173</v>
      </c>
      <c r="X186">
        <f>SQRT(($T186*1000+coord!$B$7*$R186*$U186*1000-coord!$B$2)^2+($U186*1000-coord!$B$7*$R186*$T186*1000-coord!$C$2)^2+($V186*1000-coord!$D$2)^2)</f>
        <v>22374264.55338135</v>
      </c>
      <c r="Y186" s="3">
        <f>$D186-(X186-$W186)-coord!$E$2</f>
        <v>-19.517489239573479</v>
      </c>
      <c r="Z186" s="3"/>
      <c r="AB186">
        <f>-(T186*1000-coord!$B$2)/$X186</f>
        <v>-0.22968084462728208</v>
      </c>
      <c r="AC186">
        <f>-(U186*1000-coord!$C$2)/$X186</f>
        <v>0.67581385198154997</v>
      </c>
      <c r="AD186">
        <f>-(V186*1000-coord!$D$2)/$X186</f>
        <v>-0.70037190180480302</v>
      </c>
      <c r="AE186">
        <v>1</v>
      </c>
      <c r="AG186">
        <f t="array" ref="AG186:AM189">TRANSPOSE(AB186:AE192)</f>
        <v>-0.22968084462728208</v>
      </c>
      <c r="AH186">
        <v>-0.13291359875092051</v>
      </c>
      <c r="AI186">
        <v>-0.19560733940145114</v>
      </c>
      <c r="AJ186">
        <v>-0.87305743491477028</v>
      </c>
      <c r="AK186">
        <v>-0.41402914787798156</v>
      </c>
      <c r="AL186">
        <v>-0.42328124677744305</v>
      </c>
      <c r="AM186">
        <v>-0.95978961780839911</v>
      </c>
      <c r="AO186">
        <f t="array" ref="AO186:AR189">MMULT(AG186:AM189,AB186:AE192)</f>
        <v>2.1426940906281224</v>
      </c>
      <c r="AP186">
        <v>0.22873004877948805</v>
      </c>
      <c r="AQ186">
        <v>1.1196615840603945</v>
      </c>
      <c r="AR186">
        <v>-3.2283592301582482</v>
      </c>
      <c r="AT186">
        <f t="array" ref="AT186:AW189">MINVERSE(AO186:AR189)</f>
        <v>2.6457679109641834</v>
      </c>
      <c r="AU186">
        <v>0.31629025697606877</v>
      </c>
      <c r="AV186">
        <v>1.7194106330631702</v>
      </c>
      <c r="AW186">
        <v>2.0650038956916497</v>
      </c>
      <c r="AY186">
        <f t="array" ref="AY186:AY189">MMULT(AG186:AM189,Y186:Y192)</f>
        <v>6.7188141272157438</v>
      </c>
      <c r="BA186">
        <f t="array" ref="BA186:BA189">MMULT(AT186:AW189,AY186:AY189)</f>
        <v>15.339303678652069</v>
      </c>
      <c r="BD186">
        <f>SQRT(($T186*1000+coord!$B$7*$R186*$U186*1000-coord!$B$2-BA$186)^2+($U186*1000-coord!$B$7*$R186*$T186*1000-coord!$C$2-BA$187)^2+($V186*1000-coord!$D$2-BA$188)^2)</f>
        <v>22374238.799842857</v>
      </c>
      <c r="BE186" s="3">
        <f>$D186-(BD186-$W186)-BA$189</f>
        <v>-5.4513623776899323</v>
      </c>
      <c r="BG186" s="1">
        <f>coord!$B$2+$BA186</f>
        <v>4388893.5101036793</v>
      </c>
      <c r="BH186" s="1">
        <f>coord!$C$2+$BA187</f>
        <v>924551.91367776517</v>
      </c>
      <c r="BI186" s="1">
        <f>coord!$D$2+$BA188</f>
        <v>4519602.3572986796</v>
      </c>
      <c r="BJ186" s="1">
        <f>coord!$E$2+$BA189</f>
        <v>11.68741163118348</v>
      </c>
      <c r="BK186" s="8">
        <f>lat($BG186,$BH186,$BI186)</f>
        <v>45.411188221374303</v>
      </c>
      <c r="BL186" s="8">
        <f>lon($BG186,$BH186,$BI186)</f>
        <v>11.895837395020711</v>
      </c>
      <c r="BM186" s="6">
        <f>h($BG186,$BH186,$BI186)</f>
        <v>80.039590147323906</v>
      </c>
      <c r="BO186">
        <f>grado($BK186)</f>
        <v>45</v>
      </c>
      <c r="BP186">
        <f>MINUTOprimo($BK186)</f>
        <v>24</v>
      </c>
      <c r="BQ186">
        <f>MINUTOsecondo($BK186)</f>
        <v>40.277596947490792</v>
      </c>
      <c r="BR186">
        <f>grado($BL186)</f>
        <v>11</v>
      </c>
      <c r="BS186">
        <f>MINUTOprimo($BL186)</f>
        <v>53</v>
      </c>
      <c r="BT186">
        <f>MINUTOsecondo($BL186)</f>
        <v>45.014622074561288</v>
      </c>
      <c r="BV186">
        <f>-SIN(RADIANS(BK186))*COS(RADIANS(BL186))</f>
        <v>-0.69686870110214527</v>
      </c>
      <c r="BW186">
        <f>-SIN(RADIANS(BL186))</f>
        <v>-0.20613309503736352</v>
      </c>
      <c r="BX186">
        <f>COS(RADIANS(BK186))*COS(RADIANS(BL186))</f>
        <v>0.68693752303577515</v>
      </c>
      <c r="BZ186" t="s">
        <v>93</v>
      </c>
      <c r="CA186">
        <f t="array" ref="CA186:CC188">MINVERSE(BV186:BX188)</f>
        <v>-0.69686870110214527</v>
      </c>
      <c r="CB186">
        <v>-0.14680039278758056</v>
      </c>
      <c r="CC186">
        <v>0.70201400135725289</v>
      </c>
      <c r="CD186">
        <v>0</v>
      </c>
      <c r="CE186" s="1">
        <f t="array" ref="CE186:CE188">MMULT(CA186:CC188,BA186:BA188)</f>
        <v>1.88335867589673</v>
      </c>
      <c r="CG186" s="1">
        <f t="array" ref="CG186:CI186">TRANSPOSE(CE186:CE188)</f>
        <v>1.88335867589673</v>
      </c>
      <c r="CH186" s="1">
        <v>-21.068459170218155</v>
      </c>
      <c r="CI186" s="1">
        <v>17.91844277484206</v>
      </c>
      <c r="CK186">
        <f t="array" ref="CK186:CN189">MMULT(CA186:CD189,AT186:AW189)</f>
        <v>-0.68313404299743485</v>
      </c>
      <c r="CL186">
        <v>8.8714343186638456E-2</v>
      </c>
      <c r="CM186">
        <v>0.58672624948555185</v>
      </c>
      <c r="CN186">
        <v>-2.7770174131964698E-2</v>
      </c>
      <c r="CP186">
        <f t="array" ref="CP186:CS189">TRANSPOSE(CA186:CD189)</f>
        <v>-0.69686870110214527</v>
      </c>
      <c r="CQ186">
        <v>-0.20613309503736352</v>
      </c>
      <c r="CR186">
        <v>0.68693752303577515</v>
      </c>
      <c r="CS186">
        <v>0</v>
      </c>
      <c r="CU186" s="5">
        <f t="array" ref="CU186:CX189">MMULT(CK186:CN189,CP186:CS189)</f>
        <v>0.87492147489927485</v>
      </c>
      <c r="CV186" s="5">
        <v>0.22762564532212842</v>
      </c>
      <c r="CW186" s="5">
        <v>-3.8587894166462633E-2</v>
      </c>
      <c r="CX186" s="5">
        <v>-2.7770174131964698E-2</v>
      </c>
      <c r="CZ186" s="3">
        <f>SQRT(CU186+CV187)</f>
        <v>1.1669662031371051</v>
      </c>
      <c r="DA186" s="3">
        <f>CW188</f>
        <v>4.4658950886551709</v>
      </c>
      <c r="DB186" s="3">
        <f>CX189</f>
        <v>2.130553746173351</v>
      </c>
      <c r="DC186" s="3">
        <f>BE193</f>
        <v>0</v>
      </c>
      <c r="DD186">
        <v>6</v>
      </c>
      <c r="DE186" s="6">
        <f>DB186*DD186*DC186</f>
        <v>0</v>
      </c>
      <c r="DF186">
        <v>5.33</v>
      </c>
      <c r="DG186" s="6">
        <f>DC186*DF186*SQRT(0.5*(CU186+CV187)+SQRT((0.5*(CU186-CV187))^2+CV186^2))</f>
        <v>0</v>
      </c>
    </row>
    <row r="187" spans="1:111">
      <c r="A187">
        <v>50</v>
      </c>
      <c r="B187">
        <f t="shared" si="112"/>
        <v>0.66666666666666674</v>
      </c>
      <c r="C187">
        <v>23</v>
      </c>
      <c r="D187">
        <f>tetto!D187*coord!$B$13-tetto!G187*coord!$B$14</f>
        <v>21407657.263870332</v>
      </c>
      <c r="E187" s="5">
        <f>90-DEGREES(ACOS((coord!$B$2*($T187*1000-coord!$B$2)+coord!$C$2*($U187*1000-coord!$C$2)+coord!$D$2*($V187*1000-coord!$D$2))/(SQRT(coord!$B$2^2+coord!$C$2^2+coord!$D$2^2)*SQRT(($T187*1000-coord!$B$2)^2+($U187*1000-coord!$C$2)^2+($V187*1000-coord!$D$2)^2))))</f>
        <v>46.225248336935998</v>
      </c>
      <c r="F187">
        <f>(coord!$C$2*($V187*1000-coord!$D$2)-coord!$D$2*($U187*1000-coord!$C$2))/(SQRT(coord!$B$2^2+coord!$C$2^2+coord!$D$2^2)*SQRT(($T187*1000-coord!$B$2)^2+($U187*1000-coord!$C$2)^2+($V187*1000-coord!$D$2)^2))</f>
        <v>-0.34374449596936452</v>
      </c>
      <c r="G187">
        <f>(-coord!$B$2*($V187*1000-coord!$D$2)+coord!$D$2*($T187*1000-coord!$B$2))/(SQRT(coord!$B$2^2+coord!$C$2^2+coord!$D$2^2)*SQRT(($T187*1000-coord!$B$2)^2+($U187*1000-coord!$C$2)^2+($V187*1000-coord!$D$2)^2))</f>
        <v>-0.42774156453047579</v>
      </c>
      <c r="H187">
        <f>(coord!$B$2*($U187*1000-coord!$C$2)-coord!$C$2*($T187*1000-coord!$B$2))/(SQRT(coord!$B$2^2+coord!$C$2^2+coord!$D$2^2)*SQRT(($T187*1000-coord!$B$2)^2+($U187*1000-coord!$C$2)^2+($V187*1000-coord!$D$2)^2))</f>
        <v>0.42130603688672297</v>
      </c>
      <c r="I187">
        <f t="shared" si="113"/>
        <v>0.59810003773650444</v>
      </c>
      <c r="J187">
        <f t="shared" si="114"/>
        <v>-0.34769844046382542</v>
      </c>
      <c r="K187">
        <f t="shared" si="115"/>
        <v>2.0101273651265128E-3</v>
      </c>
      <c r="L187">
        <f t="shared" si="116"/>
        <v>59.828924275466733</v>
      </c>
      <c r="M187" s="5">
        <f>'sv23'!$AA$3+'sv23'!$Z$3*($B187)+'sv23'!$Y$3*($B187)^2+'sv23'!$X$3*($B187)^3+'sv23'!$W$3*($B187)^4+'sv23'!$V$3*($B187)^5+'sv23'!$U$3*($B187)^6+'sv23'!$T$3*($B187)^7+'sv23'!$S$3*($B187)^8</f>
        <v>7248.7999489720632</v>
      </c>
      <c r="N187" s="5">
        <f>'sv23'!$AA$4+'sv23'!$Z$4*($B187)+'sv23'!$Y$4*($B187)^2+'sv23'!$X$4*($B187)^3+'sv23'!$W$4*($B187)^4+'sv23'!$V$4*($B187)^5+'sv23'!$U$4*($B187)^6+'sv23'!$T$4*($B187)^7+'sv23'!$S$4*($B187)^8</f>
        <v>14680.138868854916</v>
      </c>
      <c r="O187" s="5">
        <f>'sv23'!$AA$5+'sv23'!$Z$5*($B187)+'sv23'!$Y$5*($B187)^2+'sv23'!$X$5*($B187)^3+'sv23'!$W$5*($B187)^4+'sv23'!$V$5*($B187)^5+'sv23'!$U$5*($B187)^6+'sv23'!$T$5*($B187)^7+'sv23'!$S$5*($B187)^8</f>
        <v>20818.584705003526</v>
      </c>
      <c r="P187" s="5">
        <f>'sv23'!$AA$6+'sv23'!$Z$6*$B187+'sv23'!$Y$6*$B187^2+'sv23'!$X$6*$B187^3+'sv23'!$W$6*$B187^4+'sv23'!$V$6*$B187^5+'sv23'!$U$6*$B187^6+'sv23'!$T$6*$B187^7+'sv23'!$S$6*$B187^8</f>
        <v>370.05553277738778</v>
      </c>
      <c r="R187">
        <f>SQRT(($M187*1000-coord!$B$2)^2+($N187*1000-coord!$C$2)^2+($O187*1000-coord!$D$2)^2)/coord!$B$6</f>
        <v>7.177847532459658E-2</v>
      </c>
      <c r="T187" s="5">
        <f>'sv23'!$AA$3+'sv23'!$Z$3*($B187-$R187/3600)+'sv23'!$Y$3*($B187-$R187/3600)^2+'sv23'!$X$3*($B187-$R187/3600)^3+'sv23'!$W$3*($B187-$R187/3600)^4+'sv23'!$V$3*($B187-$R187/3600)^5+'sv23'!$U$3*($B187-$R187/3600)^6+'sv23'!$T$3*($B187-$R187/3600)^7+'sv23'!$S$3*($B187-$R187/3600)^8+N187*coord!$B$7*R187</f>
        <v>7248.9911522361381</v>
      </c>
      <c r="U187" s="5">
        <f>'sv23'!$AA$4+'sv23'!$Z$4*($B187-$R187/3600)+'sv23'!$Y$4*($B187-$R187/3600)^2+'sv23'!$X$4*($B187-$R187/3600)^3+'sv23'!$W$4*($B187-$R187/3600)^4+'sv23'!$V$4*($B187-$R187/3600)^5+'sv23'!$U$4*($B187-$R187/3600)^6+'sv23'!$T$4*($B187-$R187/3600)^7+'sv23'!$S$4*($B187-$R187/3600)^8-M187*coord!$B$7*R187</f>
        <v>14679.948324219755</v>
      </c>
      <c r="V187" s="5">
        <f>'sv23'!$AA$5+'sv23'!$Z$5*($B187-$R187/3600)+'sv23'!$Y$5*($B187-$R187/3600)^2+'sv23'!$X$5*($B187-$R187/3600)^3+'sv23'!$W$5*($B187-$R187/3600)^4+'sv23'!$V$5*($B187-$R187/3600)^5+'sv23'!$U$5*($B187-$R187/3600)^6+'sv23'!$T$5*($B187-$R187/3600)^7+'sv23'!$S$5*($B187-$R187/3600)^8</f>
        <v>20818.654624923791</v>
      </c>
      <c r="W187">
        <f>coord!$B$6*P187/10^6</f>
        <v>110939.85776783265</v>
      </c>
      <c r="X187">
        <f>SQRT(($T187*1000+coord!$B$7*$R187*$U187*1000-coord!$B$2)^2+($U187*1000-coord!$B$7*$R187*$T187*1000-coord!$C$2)^2+($V187*1000-coord!$D$2)^2)</f>
        <v>21518588.07762761</v>
      </c>
      <c r="Y187" s="3">
        <f>$D187-(X187-$W187)-coord!$E$2</f>
        <v>9.044010553508997</v>
      </c>
      <c r="Z187" s="3"/>
      <c r="AB187">
        <f>-(T187*1000-coord!$B$2)/$X187</f>
        <v>-0.13291359875092051</v>
      </c>
      <c r="AC187">
        <f>-(U187*1000-coord!$C$2)/$X187</f>
        <v>-0.63923237256076804</v>
      </c>
      <c r="AD187">
        <f>-(V187*1000-coord!$D$2)/$X187</f>
        <v>-0.75744125459465261</v>
      </c>
      <c r="AE187">
        <v>1</v>
      </c>
      <c r="AG187">
        <v>0.67581385198154997</v>
      </c>
      <c r="AH187">
        <v>-0.63923237256076804</v>
      </c>
      <c r="AI187">
        <v>0.70185648352728336</v>
      </c>
      <c r="AJ187">
        <v>0.35744131361829107</v>
      </c>
      <c r="AK187">
        <v>-0.90820312605807474</v>
      </c>
      <c r="AL187">
        <v>-0.28473098491342141</v>
      </c>
      <c r="AM187">
        <v>-0.26234925704402473</v>
      </c>
      <c r="AO187">
        <v>0.22873004877948805</v>
      </c>
      <c r="AP187">
        <v>2.46044098943324</v>
      </c>
      <c r="AQ187">
        <v>-0.3729238815069803</v>
      </c>
      <c r="AR187">
        <v>-0.35940409144916458</v>
      </c>
      <c r="AT187">
        <v>0.31629025697606888</v>
      </c>
      <c r="AU187">
        <v>0.5243428801953065</v>
      </c>
      <c r="AV187">
        <v>0.54999026195828249</v>
      </c>
      <c r="AW187">
        <v>0.43782277753607968</v>
      </c>
      <c r="AY187">
        <v>-50.968725004515264</v>
      </c>
      <c r="BA187">
        <v>-18.299522234792143</v>
      </c>
      <c r="BD187">
        <f>SQRT(($T187*1000+coord!$B$7*$R187*$U187*1000-coord!$B$2-BA$186)^2+($U187*1000-coord!$B$7*$R187*$T187*1000-coord!$C$2-BA$187)^2+($V187*1000-coord!$D$2-BA$188)^2)</f>
        <v>21518587.069359176</v>
      </c>
      <c r="BE187" s="3">
        <f t="shared" ref="BE187:BE192" si="117">$D187-(BD187-$W187)-BA$189</f>
        <v>-1.6351326431201443</v>
      </c>
      <c r="BG187" s="1"/>
      <c r="BH187" s="1"/>
      <c r="BI187" s="1"/>
      <c r="BV187">
        <f>-SIN(RADIANS(BK186))*SIN(RADIANS(BL186))</f>
        <v>-0.14680039278758056</v>
      </c>
      <c r="BW187">
        <f>COS(RADIANS(BL186))</f>
        <v>0.97852396349313653</v>
      </c>
      <c r="BX187">
        <f>COS(RADIANS(BK186))*SIN(RADIANS(BL186))</f>
        <v>0.14470831885933444</v>
      </c>
      <c r="BZ187" t="s">
        <v>94</v>
      </c>
      <c r="CA187">
        <v>-0.20613309503736352</v>
      </c>
      <c r="CB187">
        <v>0.97852396349313653</v>
      </c>
      <c r="CC187">
        <v>0</v>
      </c>
      <c r="CD187">
        <v>0</v>
      </c>
      <c r="CE187" s="1">
        <v>-21.068459170218155</v>
      </c>
      <c r="CG187" s="1"/>
      <c r="CH187" s="1"/>
      <c r="CI187" s="1"/>
      <c r="CK187">
        <v>-0.23588273236710117</v>
      </c>
      <c r="CL187">
        <v>0.44788418375747807</v>
      </c>
      <c r="CM187">
        <v>0.18375121558058322</v>
      </c>
      <c r="CN187">
        <v>2.7544352990457877E-3</v>
      </c>
      <c r="CP187">
        <v>-0.14680039278758056</v>
      </c>
      <c r="CQ187">
        <v>0.97852396349313653</v>
      </c>
      <c r="CR187">
        <v>0.14470831885933444</v>
      </c>
      <c r="CS187">
        <v>0</v>
      </c>
      <c r="CU187" s="5">
        <v>0.22762564532212848</v>
      </c>
      <c r="CV187" s="5">
        <v>0.48688864436495638</v>
      </c>
      <c r="CW187" s="5">
        <v>3.3636710548943766E-2</v>
      </c>
      <c r="CX187" s="5">
        <v>2.7544352990457877E-3</v>
      </c>
    </row>
    <row r="188" spans="1:111">
      <c r="A188">
        <v>50</v>
      </c>
      <c r="B188">
        <f t="shared" si="112"/>
        <v>0.66666666666666674</v>
      </c>
      <c r="C188">
        <v>10</v>
      </c>
      <c r="D188">
        <f>tetto!D188*coord!$B$13-tetto!G188*coord!$B$14</f>
        <v>22485958.591105193</v>
      </c>
      <c r="E188" s="5">
        <f>90-DEGREES(ACOS((coord!$B$2*($T188*1000-coord!$B$2)+coord!$C$2*($U188*1000-coord!$C$2)+coord!$D$2*($V188*1000-coord!$D$2))/(SQRT(coord!$B$2^2+coord!$C$2^2+coord!$D$2^2)*SQRT(($T188*1000-coord!$B$2)^2+($U188*1000-coord!$C$2)^2+($V188*1000-coord!$D$2)^2))))</f>
        <v>31.270679613066548</v>
      </c>
      <c r="F188">
        <f>(coord!$C$2*($V188*1000-coord!$D$2)-coord!$D$2*($U188*1000-coord!$C$2))/(SQRT(coord!$B$2^2+coord!$C$2^2+coord!$D$2^2)*SQRT(($T188*1000-coord!$B$2)^2+($U188*1000-coord!$C$2)^2+($V188*1000-coord!$D$2)^2))</f>
        <v>0.59763410133901762</v>
      </c>
      <c r="G188">
        <f>(-coord!$B$2*($V188*1000-coord!$D$2)+coord!$D$2*($T188*1000-coord!$B$2))/(SQRT(coord!$B$2^2+coord!$C$2^2+coord!$D$2^2)*SQRT(($T188*1000-coord!$B$2)^2+($U188*1000-coord!$C$2)^2+($V188*1000-coord!$D$2)^2))</f>
        <v>-0.33326421475839973</v>
      </c>
      <c r="H188">
        <f>(coord!$B$2*($U188*1000-coord!$C$2)-coord!$C$2*($T188*1000-coord!$B$2))/(SQRT(coord!$B$2^2+coord!$C$2^2+coord!$D$2^2)*SQRT(($T188*1000-coord!$B$2)^2+($U188*1000-coord!$C$2)^2+($V188*1000-coord!$D$2)^2))</f>
        <v>-0.51217432980881594</v>
      </c>
      <c r="I188">
        <f t="shared" si="113"/>
        <v>-0.72710287275273644</v>
      </c>
      <c r="J188">
        <f t="shared" si="114"/>
        <v>-0.44929896090813654</v>
      </c>
      <c r="K188">
        <f t="shared" si="115"/>
        <v>-2.440532426456532E-3</v>
      </c>
      <c r="L188">
        <f t="shared" si="116"/>
        <v>-58.286820998758998</v>
      </c>
      <c r="M188" s="5">
        <f>'sv10'!$AA$3+'sv10'!$Z$3*($B188)+'sv10'!$Y$3*($B188)^2+'sv10'!$X$3*($B188)^3+'sv10'!$W$3*($B188)^4+'sv10'!$V$3*($B188)^5+'sv10'!$U$3*($B188)^6+'sv10'!$T$3*($B188)^7+'sv10'!$S$3*($B188)^8</f>
        <v>8784.9473214138416</v>
      </c>
      <c r="N188" s="5">
        <f>'sv10'!$AA$4+'sv10'!$Z$4*($B188)+'sv10'!$Y$4*($B188)^2+'sv10'!$X$4*($B188)^3+'sv10'!$W$4*($B188)^4+'sv10'!$V$4*($B188)^5+'sv10'!$U$4*($B188)^6+'sv10'!$T$4*($B188)^7+'sv10'!$S$4*($B188)^8</f>
        <v>-14848.084505072553</v>
      </c>
      <c r="O188" s="5">
        <f>'sv10'!$AA$5+'sv10'!$Z$5*($B188)+'sv10'!$Y$5*($B188)^2+'sv10'!$X$5*($B188)^3+'sv10'!$W$5*($B188)^4+'sv10'!$V$5*($B188)^5+'sv10'!$U$5*($B188)^6+'sv10'!$T$5*($B188)^7+'sv10'!$S$5*($B188)^8</f>
        <v>19912.238343953031</v>
      </c>
      <c r="P188" s="5">
        <f>'sv10'!$AA$6+'sv10'!$Z$6*$B188+'sv10'!$Y$6*$B188^2+'sv10'!$X$6*$B188^3+'sv10'!$W$6*$B188^4+'sv10'!$V$6*$B188^5+'sv10'!$U$6*$B188^6+'sv10'!$T$6*$B188^7+'sv10'!$S$6*$B188^8</f>
        <v>-43.001942463477526</v>
      </c>
      <c r="R188">
        <f>SQRT(($M188*1000-coord!$B$2)^2+($N188*1000-coord!$C$2)^2+($O188*1000-coord!$D$2)^2)/coord!$B$6</f>
        <v>7.4961859708012613E-2</v>
      </c>
      <c r="T188" s="5">
        <f>'sv10'!$AA$3+'sv10'!$Z$3*($B188-$R188/3600)+'sv10'!$Y$3*($B188-$R188/3600)^2+'sv10'!$X$3*($B188-$R188/3600)^3+'sv10'!$W$3*($B188-$R188/3600)^4+'sv10'!$V$3*($B188-$R188/3600)^5+'sv10'!$U$3*($B188-$R188/3600)^6+'sv10'!$T$3*($B188-$R188/3600)^7+'sv10'!$S$3*($B188-$R188/3600)^8+N188*coord!$B$7*R188</f>
        <v>8784.7769773070122</v>
      </c>
      <c r="U188" s="5">
        <f>'sv10'!$AA$4+'sv10'!$Z$4*($B188-$R188/3600)+'sv10'!$Y$4*($B188-$R188/3600)^2+'sv10'!$X$4*($B188-$R188/3600)^3+'sv10'!$W$4*($B188-$R188/3600)^4+'sv10'!$V$4*($B188-$R188/3600)^5+'sv10'!$U$4*($B188-$R188/3600)^6+'sv10'!$T$4*($B188-$R188/3600)^7+'sv10'!$S$4*($B188-$R188/3600)^8-M188*coord!$B$7*R188</f>
        <v>-14848.304606924998</v>
      </c>
      <c r="V188" s="5">
        <f>'sv10'!$AA$5+'sv10'!$Z$5*($B188-$R188/3600)+'sv10'!$Y$5*($B188-$R188/3600)^2+'sv10'!$X$5*($B188-$R188/3600)^3+'sv10'!$W$5*($B188-$R188/3600)^4+'sv10'!$V$5*($B188-$R188/3600)^5+'sv10'!$U$5*($B188-$R188/3600)^6+'sv10'!$T$5*($B188-$R188/3600)^7+'sv10'!$S$5*($B188-$R188/3600)^8</f>
        <v>19912.147634231962</v>
      </c>
      <c r="W188">
        <f>coord!$B$6*P188/10^6</f>
        <v>-12891.658029900504</v>
      </c>
      <c r="X188">
        <f>SQRT(($T188*1000+coord!$B$7*$R188*$U188*1000-coord!$B$2)^2+($U188*1000-coord!$B$7*$R188*$T188*1000-coord!$C$2)^2+($V188*1000-coord!$D$2)^2)</f>
        <v>22473077.032580916</v>
      </c>
      <c r="Y188" s="3">
        <f>$D188-(X188-$W188)-coord!$E$2</f>
        <v>-10.099505621939898</v>
      </c>
      <c r="Z188" s="3"/>
      <c r="AB188">
        <f>-(T188*1000-coord!$B$2)/$X188</f>
        <v>-0.19560733940145114</v>
      </c>
      <c r="AC188">
        <f>-(U188*1000-coord!$C$2)/$X188</f>
        <v>0.70185648352728336</v>
      </c>
      <c r="AD188">
        <f>-(V188*1000-coord!$D$2)/$X188</f>
        <v>-0.68493332433365528</v>
      </c>
      <c r="AE188">
        <v>1</v>
      </c>
      <c r="AG188">
        <v>-0.70037190180480302</v>
      </c>
      <c r="AH188">
        <v>-0.75744125459465261</v>
      </c>
      <c r="AI188">
        <v>-0.68493332433365528</v>
      </c>
      <c r="AJ188">
        <v>-0.33167041889405313</v>
      </c>
      <c r="AK188">
        <v>6.1226623001536924E-2</v>
      </c>
      <c r="AL188">
        <v>-0.86009398898402634</v>
      </c>
      <c r="AM188">
        <v>-9.9884359530532874E-2</v>
      </c>
      <c r="AO188">
        <v>1.1196615840603945</v>
      </c>
      <c r="AP188">
        <v>-0.3729238815069803</v>
      </c>
      <c r="AQ188">
        <v>2.3968642350811584</v>
      </c>
      <c r="AR188">
        <v>-3.373168625140186</v>
      </c>
      <c r="AT188">
        <v>1.7194106330631707</v>
      </c>
      <c r="AU188">
        <v>0.54999026195828238</v>
      </c>
      <c r="AV188">
        <v>2.6575944167599124</v>
      </c>
      <c r="AW188">
        <v>2.1018654347212848</v>
      </c>
      <c r="AY188">
        <v>18.330583551791307</v>
      </c>
      <c r="BA188">
        <v>14.082998679860538</v>
      </c>
      <c r="BD188">
        <f>SQRT(($T188*1000+coord!$B$7*$R188*$U188*1000-coord!$B$2-BA$186)^2+($U188*1000-coord!$B$7*$R188*$T188*1000-coord!$C$2-BA$187)^2+($V188*1000-coord!$D$2-BA$188)^2)</f>
        <v>22473051.54256605</v>
      </c>
      <c r="BE188" s="3">
        <f t="shared" si="117"/>
        <v>3.7030976128710762</v>
      </c>
      <c r="BG188" s="1"/>
      <c r="BH188" s="1"/>
      <c r="BI188" s="1"/>
      <c r="BV188">
        <f>COS(RADIANS(BK186))</f>
        <v>0.70201400135725278</v>
      </c>
      <c r="BW188">
        <v>0</v>
      </c>
      <c r="BX188">
        <f>SIN(RADIANS(BK186))</f>
        <v>0.71216314275478976</v>
      </c>
      <c r="BZ188" t="s">
        <v>95</v>
      </c>
      <c r="CA188">
        <v>0.68693752303577515</v>
      </c>
      <c r="CB188">
        <v>0.14470831885933444</v>
      </c>
      <c r="CC188">
        <v>0.71216314275478976</v>
      </c>
      <c r="CD188">
        <v>0</v>
      </c>
      <c r="CE188" s="1">
        <v>17.91844277484206</v>
      </c>
      <c r="CG188" s="1"/>
      <c r="CH188" s="1"/>
      <c r="CI188" s="1"/>
      <c r="CK188">
        <v>3.0877479667721373</v>
      </c>
      <c r="CL188">
        <v>0.68483121582715412</v>
      </c>
      <c r="CM188">
        <v>3.153356639562098</v>
      </c>
      <c r="CN188">
        <v>2.9787563528999907</v>
      </c>
      <c r="CP188">
        <v>0.70201400135725289</v>
      </c>
      <c r="CQ188">
        <v>0</v>
      </c>
      <c r="CR188">
        <v>0.71216314275478976</v>
      </c>
      <c r="CS188">
        <v>0</v>
      </c>
      <c r="CU188" s="5">
        <v>-3.8587894166462799E-2</v>
      </c>
      <c r="CV188" s="5">
        <v>3.3636710548943571E-2</v>
      </c>
      <c r="CW188" s="5">
        <v>4.4658950886551709</v>
      </c>
      <c r="CX188" s="5">
        <v>2.9787563528999907</v>
      </c>
    </row>
    <row r="189" spans="1:111">
      <c r="A189">
        <v>50</v>
      </c>
      <c r="B189">
        <f t="shared" si="112"/>
        <v>0.66666666666666674</v>
      </c>
      <c r="C189">
        <v>4</v>
      </c>
      <c r="D189">
        <f>tetto!D189*coord!$B$13-tetto!G189*coord!$B$14</f>
        <v>21332052.59603779</v>
      </c>
      <c r="E189" s="5">
        <f>90-DEGREES(ACOS((coord!$B$2*($T189*1000-coord!$B$2)+coord!$C$2*($U189*1000-coord!$C$2)+coord!$D$2*($V189*1000-coord!$D$2))/(SQRT(coord!$B$2^2+coord!$C$2^2+coord!$D$2^2)*SQRT(($T189*1000-coord!$B$2)^2+($U189*1000-coord!$C$2)^2+($V189*1000-coord!$D$2)^2))))</f>
        <v>51.747880025101232</v>
      </c>
      <c r="F189">
        <f>(coord!$C$2*($V189*1000-coord!$D$2)-coord!$D$2*($U189*1000-coord!$C$2))/(SQRT(coord!$B$2^2+coord!$C$2^2+coord!$D$2^2)*SQRT(($T189*1000-coord!$B$2)^2+($U189*1000-coord!$C$2)^2+($V189*1000-coord!$D$2)^2))</f>
        <v>0.30187232052881258</v>
      </c>
      <c r="G189">
        <f>(-coord!$B$2*($V189*1000-coord!$D$2)+coord!$D$2*($T189*1000-coord!$B$2))/(SQRT(coord!$B$2^2+coord!$C$2^2+coord!$D$2^2)*SQRT(($T189*1000-coord!$B$2)^2+($U189*1000-coord!$C$2)^2+($V189*1000-coord!$D$2)^2))</f>
        <v>0.39108603623481286</v>
      </c>
      <c r="H189">
        <f>(coord!$B$2*($U189*1000-coord!$C$2)-coord!$C$2*($T189*1000-coord!$B$2))/(SQRT(coord!$B$2^2+coord!$C$2^2+coord!$D$2^2)*SQRT(($T189*1000-coord!$B$2)^2+($U189*1000-coord!$C$2)^2+($V189*1000-coord!$D$2)^2))</f>
        <v>-0.37314623268421787</v>
      </c>
      <c r="I189">
        <f t="shared" si="113"/>
        <v>-0.5297307349855962</v>
      </c>
      <c r="J189">
        <f t="shared" si="114"/>
        <v>0.32046134746170418</v>
      </c>
      <c r="K189">
        <f t="shared" si="115"/>
        <v>-1.7803933220057466E-3</v>
      </c>
      <c r="L189">
        <f t="shared" si="116"/>
        <v>238.82810047679621</v>
      </c>
      <c r="M189" s="5">
        <f>'sv04'!$AA$3+'sv04'!$Z$3*($B189)+'sv04'!$Y$3*($B189)^2+'sv04'!$X$3*($B189)^3+'sv04'!$W$3*($B189)^4+'sv04'!$V$3*($B189)^5+'sv04'!$U$3*($B189)^6+'sv04'!$T$3*($B189)^7+'sv04'!$S$3*($B189)^8</f>
        <v>23035.800951239056</v>
      </c>
      <c r="N189" s="5">
        <f>'sv04'!$AA$4+'sv04'!$Z$4*($B189)+'sv04'!$Y$4*($B189)^2+'sv04'!$X$4*($B189)^3+'sv04'!$W$4*($B189)^4+'sv04'!$V$4*($B189)^5+'sv04'!$U$4*($B189)^6+'sv04'!$T$4*($B189)^7+'sv04'!$S$4*($B189)^8</f>
        <v>-6709.5233872198332</v>
      </c>
      <c r="O189" s="5">
        <f>'sv04'!$AA$5+'sv04'!$Z$5*($B189)+'sv04'!$Y$5*($B189)^2+'sv04'!$X$5*($B189)^3+'sv04'!$W$5*($B189)^4+'sv04'!$V$5*($B189)^5+'sv04'!$U$5*($B189)^6+'sv04'!$T$5*($B189)^7+'sv04'!$S$5*($B189)^8</f>
        <v>11603.227859600698</v>
      </c>
      <c r="P189" s="5">
        <f>'sv04'!$AA$6+'sv04'!$Z$6*$B189+'sv04'!$Y$6*$B189^2+'sv04'!$X$6*$B189^3+'sv04'!$W$6*$B189^4+'sv04'!$V$6*$B189^5+'sv04'!$U$6*$B189^6+'sv04'!$T$6*$B189^7+'sv04'!$S$6*$B189^8</f>
        <v>86.607194779959812</v>
      </c>
      <c r="R189">
        <f>SQRT(($M189*1000-coord!$B$2)^2+($N189*1000-coord!$C$2)^2+($O189*1000-coord!$D$2)^2)/coord!$B$6</f>
        <v>7.1242689736523868E-2</v>
      </c>
      <c r="T189" s="5">
        <f>'sv04'!$AA$3+'sv04'!$Z$3*($B189-$R189/3600)+'sv04'!$Y$3*($B189-$R189/3600)^2+'sv04'!$X$3*($B189-$R189/3600)^3+'sv04'!$W$3*($B189-$R189/3600)^4+'sv04'!$V$3*($B189-$R189/3600)^5+'sv04'!$U$3*($B189-$R189/3600)^6+'sv04'!$T$3*($B189-$R189/3600)^7+'sv04'!$S$3*($B189-$R189/3600)^8+N189*coord!$B$7*R189</f>
        <v>23035.661715800052</v>
      </c>
      <c r="U189" s="5">
        <f>'sv04'!$AA$4+'sv04'!$Z$4*($B189-$R189/3600)+'sv04'!$Y$4*($B189-$R189/3600)^2+'sv04'!$X$4*($B189-$R189/3600)^3+'sv04'!$W$4*($B189-$R189/3600)^4+'sv04'!$V$4*($B189-$R189/3600)^5+'sv04'!$U$4*($B189-$R189/3600)^6+'sv04'!$T$4*($B189-$R189/3600)^7+'sv04'!$S$4*($B189-$R189/3600)^8-M189*coord!$B$7*R189</f>
        <v>-6709.6707181900601</v>
      </c>
      <c r="V189" s="5">
        <f>'sv04'!$AA$5+'sv04'!$Z$5*($B189-$R189/3600)+'sv04'!$Y$5*($B189-$R189/3600)^2+'sv04'!$X$5*($B189-$R189/3600)^3+'sv04'!$W$5*($B189-$R189/3600)^4+'sv04'!$V$5*($B189-$R189/3600)^5+'sv04'!$U$5*($B189-$R189/3600)^6+'sv04'!$T$5*($B189-$R189/3600)^7+'sv04'!$S$5*($B189-$R189/3600)^8</f>
        <v>11603.4137616812</v>
      </c>
      <c r="W189">
        <f>coord!$B$6*P189/10^6</f>
        <v>25964.183803568922</v>
      </c>
      <c r="X189">
        <f>SQRT(($T189*1000+coord!$B$7*$R189*$U189*1000-coord!$B$2)^2+($U189*1000-coord!$B$7*$R189*$T189*1000-coord!$C$2)^2+($V189*1000-coord!$D$2)^2)</f>
        <v>21358026.172493897</v>
      </c>
      <c r="Y189" s="3">
        <f>$D189-(X189-$W189)-coord!$E$2</f>
        <v>-9.3926525376737118</v>
      </c>
      <c r="Z189" s="3"/>
      <c r="AB189">
        <f>-(T189*1000-coord!$B$2)/$X189</f>
        <v>-0.87305743491477028</v>
      </c>
      <c r="AC189">
        <f>-(U189*1000-coord!$C$2)/$X189</f>
        <v>0.35744131361829107</v>
      </c>
      <c r="AD189">
        <f>-(V189*1000-coord!$D$2)/$X189</f>
        <v>-0.33167041889405313</v>
      </c>
      <c r="AE189">
        <v>1</v>
      </c>
      <c r="AG189">
        <v>1</v>
      </c>
      <c r="AH189">
        <v>1</v>
      </c>
      <c r="AI189">
        <v>1</v>
      </c>
      <c r="AJ189">
        <v>1</v>
      </c>
      <c r="AK189">
        <v>1</v>
      </c>
      <c r="AL189">
        <v>1</v>
      </c>
      <c r="AM189">
        <v>1</v>
      </c>
      <c r="AO189">
        <v>-3.2283592301582482</v>
      </c>
      <c r="AP189">
        <v>-0.35940409144916458</v>
      </c>
      <c r="AQ189">
        <v>-3.373168625140186</v>
      </c>
      <c r="AR189">
        <v>7</v>
      </c>
      <c r="AT189">
        <v>2.0650038956916497</v>
      </c>
      <c r="AU189">
        <v>0.43782277753607973</v>
      </c>
      <c r="AV189">
        <v>2.1018654347212848</v>
      </c>
      <c r="AW189">
        <v>2.130553746173351</v>
      </c>
      <c r="AY189">
        <v>-8.6363073289394379</v>
      </c>
      <c r="BA189">
        <v>11.68741163118348</v>
      </c>
      <c r="BD189">
        <f>SQRT(($T189*1000+coord!$B$7*$R189*$U189*1000-coord!$B$2-BA$186)^2+($U189*1000-coord!$B$7*$R189*$T189*1000-coord!$C$2-BA$187)^2+($V189*1000-coord!$D$2-BA$188)^2)</f>
        <v>21358001.568407752</v>
      </c>
      <c r="BE189" s="3">
        <f t="shared" si="117"/>
        <v>3.5240219769014374</v>
      </c>
      <c r="BG189" s="1"/>
      <c r="BH189" s="1"/>
      <c r="BI189" s="1"/>
      <c r="CA189">
        <v>0</v>
      </c>
      <c r="CB189">
        <v>0</v>
      </c>
      <c r="CC189">
        <v>0</v>
      </c>
      <c r="CD189">
        <v>1</v>
      </c>
      <c r="CG189" s="1"/>
      <c r="CH189" s="1"/>
      <c r="CI189" s="1"/>
      <c r="CK189">
        <v>2.0650038956916497</v>
      </c>
      <c r="CL189">
        <v>0.43782277753607973</v>
      </c>
      <c r="CM189">
        <v>2.1018654347212848</v>
      </c>
      <c r="CN189">
        <v>2.130553746173351</v>
      </c>
      <c r="CP189">
        <v>0</v>
      </c>
      <c r="CQ189">
        <v>0</v>
      </c>
      <c r="CR189">
        <v>0</v>
      </c>
      <c r="CS189">
        <v>1</v>
      </c>
      <c r="CU189" s="5">
        <v>-2.7770174131964698E-2</v>
      </c>
      <c r="CV189" s="5">
        <v>2.7544352990458432E-3</v>
      </c>
      <c r="CW189" s="5">
        <v>2.9787563528999907</v>
      </c>
      <c r="CX189" s="5">
        <v>2.130553746173351</v>
      </c>
    </row>
    <row r="190" spans="1:111">
      <c r="A190">
        <v>50</v>
      </c>
      <c r="B190">
        <f t="shared" si="112"/>
        <v>0.66666666666666674</v>
      </c>
      <c r="C190">
        <v>20</v>
      </c>
      <c r="D190">
        <f>tetto!D190*coord!$B$13-tetto!G190*coord!$B$14</f>
        <v>23509660.154679261</v>
      </c>
      <c r="E190" s="5">
        <f>90-DEGREES(ACOS((coord!$B$2*($T190*1000-coord!$B$2)+coord!$C$2*($U190*1000-coord!$C$2)+coord!$D$2*($V190*1000-coord!$D$2))/(SQRT(coord!$B$2^2+coord!$C$2^2+coord!$D$2^2)*SQRT(($T190*1000-coord!$B$2)^2+($U190*1000-coord!$C$2)^2+($V190*1000-coord!$D$2)^2))))</f>
        <v>21.949838810228286</v>
      </c>
      <c r="F190">
        <f>(coord!$C$2*($V190*1000-coord!$D$2)-coord!$D$2*($U190*1000-coord!$C$2))/(SQRT(coord!$B$2^2+coord!$C$2^2+coord!$D$2^2)*SQRT(($T190*1000-coord!$B$2)^2+($U190*1000-coord!$C$2)^2+($V190*1000-coord!$D$2)^2))</f>
        <v>-0.6535336306720918</v>
      </c>
      <c r="G190">
        <f>(-coord!$B$2*($V190*1000-coord!$D$2)+coord!$D$2*($T190*1000-coord!$B$2))/(SQRT(coord!$B$2^2+coord!$C$2^2+coord!$D$2^2)*SQRT(($T190*1000-coord!$B$2)^2+($U190*1000-coord!$C$2)^2+($V190*1000-coord!$D$2)^2))</f>
        <v>0.33608006412945851</v>
      </c>
      <c r="H190">
        <f>(coord!$B$2*($U190*1000-coord!$C$2)-coord!$C$2*($T190*1000-coord!$B$2))/(SQRT(coord!$B$2^2+coord!$C$2^2+coord!$D$2^2)*SQRT(($T190*1000-coord!$B$2)^2+($U190*1000-coord!$C$2)^2+($V190*1000-coord!$D$2)^2))</f>
        <v>0.56588116301193103</v>
      </c>
      <c r="I190">
        <f t="shared" si="113"/>
        <v>0.80334709063386067</v>
      </c>
      <c r="J190">
        <f t="shared" si="114"/>
        <v>0.46357705624578988</v>
      </c>
      <c r="K190">
        <f t="shared" si="115"/>
        <v>2.6965661576140443E-3</v>
      </c>
      <c r="L190">
        <f t="shared" si="116"/>
        <v>119.98739577236918</v>
      </c>
      <c r="M190" s="5">
        <f>'sv20'!$AA$3+'sv20'!$Z$3*($B190)+'sv20'!$Y$3*($B190)^2+'sv20'!$X$3*($B190)^3+'sv20'!$W$3*($B190)^4+'sv20'!$V$3*($B190)^5+'sv20'!$U$3*($B190)^6+'sv20'!$T$3*($B190)^7+'sv20'!$S$3*($B190)^8</f>
        <v>14129.343661491992</v>
      </c>
      <c r="N190" s="5">
        <f>'sv20'!$AA$4+'sv20'!$Z$4*($B190)+'sv20'!$Y$4*($B190)^2+'sv20'!$X$4*($B190)^3+'sv20'!$W$4*($B190)^4+'sv20'!$V$4*($B190)^5+'sv20'!$U$4*($B190)^6+'sv20'!$T$4*($B190)^7+'sv20'!$S$4*($B190)^8</f>
        <v>22291.414104177959</v>
      </c>
      <c r="O190" s="5">
        <f>'sv20'!$AA$5+'sv20'!$Z$5*($B190)+'sv20'!$Y$5*($B190)^2+'sv20'!$X$5*($B190)^3+'sv20'!$W$5*($B190)^4+'sv20'!$V$5*($B190)^5+'sv20'!$U$5*($B190)^6+'sv20'!$T$5*($B190)^7+'sv20'!$S$5*($B190)^8</f>
        <v>3078.9058537446786</v>
      </c>
      <c r="P190" s="5">
        <f>'sv20'!$AA$6+'sv20'!$Z$6*$B190+'sv20'!$Y$6*$B190^2+'sv20'!$X$6*$B190^3+'sv20'!$W$6*$B190^4+'sv20'!$V$6*$B190^5+'sv20'!$U$6*$B190^6+'sv20'!$T$6*$B190^7+'sv20'!$S$6*$B190^8</f>
        <v>55.81753984480688</v>
      </c>
      <c r="R190">
        <f>SQRT(($M190*1000-coord!$B$2)^2+($N190*1000-coord!$C$2)^2+($O190*1000-coord!$D$2)^2)/coord!$B$6</f>
        <v>7.8475818578086637E-2</v>
      </c>
      <c r="T190" s="5">
        <f>'sv20'!$AA$3+'sv20'!$Z$3*($B190-$R190/3600)+'sv20'!$Y$3*($B190-$R190/3600)^2+'sv20'!$X$3*($B190-$R190/3600)^3+'sv20'!$W$3*($B190-$R190/3600)^4+'sv20'!$V$3*($B190-$R190/3600)^5+'sv20'!$U$3*($B190-$R190/3600)^6+'sv20'!$T$3*($B190-$R190/3600)^7+'sv20'!$S$3*($B190-$R190/3600)^8+N190*coord!$B$7*R190</f>
        <v>14129.480740109751</v>
      </c>
      <c r="U190" s="5">
        <f>'sv20'!$AA$4+'sv20'!$Z$4*($B190-$R190/3600)+'sv20'!$Y$4*($B190-$R190/3600)^2+'sv20'!$X$4*($B190-$R190/3600)^3+'sv20'!$W$4*($B190-$R190/3600)^4+'sv20'!$V$4*($B190-$R190/3600)^5+'sv20'!$U$4*($B190-$R190/3600)^6+'sv20'!$T$4*($B190-$R190/3600)^7+'sv20'!$S$4*($B190-$R190/3600)^8-M190*coord!$B$7*R190</f>
        <v>22291.292214481811</v>
      </c>
      <c r="V190" s="5">
        <f>'sv20'!$AA$5+'sv20'!$Z$5*($B190-$R190/3600)+'sv20'!$Y$5*($B190-$R190/3600)^2+'sv20'!$X$5*($B190-$R190/3600)^3+'sv20'!$W$5*($B190-$R190/3600)^4+'sv20'!$V$5*($B190-$R190/3600)^5+'sv20'!$U$5*($B190-$R190/3600)^6+'sv20'!$T$5*($B190-$R190/3600)^7+'sv20'!$S$5*($B190-$R190/3600)^8</f>
        <v>3079.1481401317401</v>
      </c>
      <c r="W190">
        <f>coord!$B$6*P190/10^6</f>
        <v>16733.677469587594</v>
      </c>
      <c r="X190">
        <f>SQRT(($T190*1000+coord!$B$7*$R190*$U190*1000-coord!$B$2)^2+($U190*1000-coord!$B$7*$R190*$T190*1000-coord!$C$2)^2+($V190*1000-coord!$D$2)^2)</f>
        <v>23526369.143895157</v>
      </c>
      <c r="Y190" s="3">
        <f>$D190-(X190-$W190)-coord!$E$2</f>
        <v>24.688253693282604</v>
      </c>
      <c r="Z190" s="3"/>
      <c r="AB190">
        <f>-(T190*1000-coord!$B$2)/$X190</f>
        <v>-0.41402914787798156</v>
      </c>
      <c r="AC190">
        <f>-(U190*1000-coord!$C$2)/$X190</f>
        <v>-0.90820312605807474</v>
      </c>
      <c r="AD190">
        <f>-(V190*1000-coord!$D$2)/$X190</f>
        <v>6.1226623001536924E-2</v>
      </c>
      <c r="AE190">
        <v>1</v>
      </c>
      <c r="BD190">
        <f>SQRT(($T190*1000+coord!$B$7*$R190*$U190*1000-coord!$B$2-BA$186)^2+($U190*1000-coord!$B$7*$R190*$T190*1000-coord!$C$2-BA$187)^2+($V190*1000-coord!$D$2-BA$188)^2)</f>
        <v>23526380.274781711</v>
      </c>
      <c r="BE190" s="3">
        <f t="shared" si="117"/>
        <v>1.8699555073811069</v>
      </c>
      <c r="BG190" s="1"/>
      <c r="BH190" s="1"/>
      <c r="BI190" s="1"/>
      <c r="CG190" s="1"/>
      <c r="CH190" s="1"/>
      <c r="CI190" s="1"/>
    </row>
    <row r="191" spans="1:111">
      <c r="A191">
        <v>50</v>
      </c>
      <c r="B191">
        <f t="shared" si="112"/>
        <v>0.66666666666666674</v>
      </c>
      <c r="C191">
        <v>13</v>
      </c>
      <c r="D191">
        <f>tetto!D191*coord!$B$13-tetto!G191*coord!$B$14</f>
        <v>20261702.806091033</v>
      </c>
      <c r="E191" s="5">
        <f>90-DEGREES(ACOS((coord!$B$2*($T191*1000-coord!$B$2)+coord!$C$2*($U191*1000-coord!$C$2)+coord!$D$2*($V191*1000-coord!$D$2))/(SQRT(coord!$B$2^2+coord!$C$2^2+coord!$D$2^2)*SQRT(($T191*1000-coord!$B$2)^2+($U191*1000-coord!$C$2)^2+($V191*1000-coord!$D$2)^2))))</f>
        <v>70.664545619528596</v>
      </c>
      <c r="F191">
        <f>(coord!$C$2*($V191*1000-coord!$D$2)-coord!$D$2*($U191*1000-coord!$C$2))/(SQRT(coord!$B$2^2+coord!$C$2^2+coord!$D$2^2)*SQRT(($T191*1000-coord!$B$2)^2+($U191*1000-coord!$C$2)^2+($V191*1000-coord!$D$2)^2))</f>
        <v>-7.7213552512449893E-2</v>
      </c>
      <c r="G191">
        <f>(-coord!$B$2*($V191*1000-coord!$D$2)+coord!$D$2*($T191*1000-coord!$B$2))/(SQRT(coord!$B$2^2+coord!$C$2^2+coord!$D$2^2)*SQRT(($T191*1000-coord!$B$2)^2+($U191*1000-coord!$C$2)^2+($V191*1000-coord!$D$2)^2))</f>
        <v>-0.29239421284141859</v>
      </c>
      <c r="H191">
        <f>(coord!$B$2*($U191*1000-coord!$C$2)-coord!$C$2*($T191*1000-coord!$B$2))/(SQRT(coord!$B$2^2+coord!$C$2^2+coord!$D$2^2)*SQRT(($T191*1000-coord!$B$2)^2+($U191*1000-coord!$C$2)^2+($V191*1000-coord!$D$2)^2))</f>
        <v>0.13479543220370097</v>
      </c>
      <c r="I191">
        <f t="shared" si="113"/>
        <v>0.19135948949354339</v>
      </c>
      <c r="J191">
        <f t="shared" si="114"/>
        <v>-0.27019853508190866</v>
      </c>
      <c r="K191">
        <f t="shared" si="115"/>
        <v>6.4370652413908713E-4</v>
      </c>
      <c r="L191">
        <f t="shared" si="116"/>
        <v>35.306816185366543</v>
      </c>
      <c r="M191" s="5">
        <f>'sv13'!$AA$3+'sv13'!$Z$3*($B191)+'sv13'!$Y$3*($B191)^2+'sv13'!$X$3*($B191)^3+'sv13'!$W$3*($B191)^4+'sv13'!$V$3*($B191)^5+'sv13'!$U$3*($B191)^6+'sv13'!$T$3*($B191)^7+'sv13'!$S$3*($B191)^8</f>
        <v>13003.730130734832</v>
      </c>
      <c r="N191" s="5">
        <f>'sv13'!$AA$4+'sv13'!$Z$4*($B191)+'sv13'!$Y$4*($B191)^2+'sv13'!$X$4*($B191)^3+'sv13'!$W$4*($B191)^4+'sv13'!$V$4*($B191)^5+'sv13'!$U$4*($B191)^6+'sv13'!$T$4*($B191)^7+'sv13'!$S$4*($B191)^8</f>
        <v>6719.8883590226451</v>
      </c>
      <c r="O191" s="5">
        <f>'sv13'!$AA$5+'sv13'!$Z$5*($B191)+'sv13'!$Y$5*($B191)^2+'sv13'!$X$5*($B191)^3+'sv13'!$W$5*($B191)^4+'sv13'!$V$5*($B191)^5+'sv13'!$U$5*($B191)^6+'sv13'!$T$5*($B191)^7+'sv13'!$S$5*($B191)^8</f>
        <v>22025.022509671904</v>
      </c>
      <c r="P191" s="5">
        <f>'sv13'!$AA$6+'sv13'!$Z$6*$B191+'sv13'!$Y$6*$B191^2+'sv13'!$X$6*$B191^3+'sv13'!$W$6*$B191^4+'sv13'!$V$6*$B191^5+'sv13'!$U$6*$B191^6+'sv13'!$T$6*$B191^7+'sv13'!$S$6*$B191^8</f>
        <v>304.21909925713567</v>
      </c>
      <c r="R191">
        <f>SQRT(($M191*1000-coord!$B$2)^2+($N191*1000-coord!$C$2)^2+($O191*1000-coord!$D$2)^2)/coord!$B$6</f>
        <v>6.789005490952392E-2</v>
      </c>
      <c r="T191" s="5">
        <f>'sv13'!$AA$3+'sv13'!$Z$3*($B191-$R191/3600)+'sv13'!$Y$3*($B191-$R191/3600)^2+'sv13'!$X$3*($B191-$R191/3600)^3+'sv13'!$W$3*($B191-$R191/3600)^4+'sv13'!$V$3*($B191-$R191/3600)^5+'sv13'!$U$3*($B191-$R191/3600)^6+'sv13'!$T$3*($B191-$R191/3600)^7+'sv13'!$S$3*($B191-$R191/3600)^8+N191*coord!$B$7*R191</f>
        <v>13003.881137902141</v>
      </c>
      <c r="U191" s="5">
        <f>'sv13'!$AA$4+'sv13'!$Z$4*($B191-$R191/3600)+'sv13'!$Y$4*($B191-$R191/3600)^2+'sv13'!$X$4*($B191-$R191/3600)^3+'sv13'!$W$4*($B191-$R191/3600)^4+'sv13'!$V$4*($B191-$R191/3600)^5+'sv13'!$U$4*($B191-$R191/3600)^6+'sv13'!$T$4*($B191-$R191/3600)^7+'sv13'!$S$4*($B191-$R191/3600)^8-M191*coord!$B$7*R191</f>
        <v>6719.6728749174481</v>
      </c>
      <c r="V191" s="5">
        <f>'sv13'!$AA$5+'sv13'!$Z$5*($B191-$R191/3600)+'sv13'!$Y$5*($B191-$R191/3600)^2+'sv13'!$X$5*($B191-$R191/3600)^3+'sv13'!$W$5*($B191-$R191/3600)^4+'sv13'!$V$5*($B191-$R191/3600)^5+'sv13'!$U$5*($B191-$R191/3600)^6+'sv13'!$T$5*($B191-$R191/3600)^7+'sv13'!$S$5*($B191-$R191/3600)^8</f>
        <v>22024.999448303777</v>
      </c>
      <c r="W191">
        <f>coord!$B$6*P191/10^6</f>
        <v>91202.591536842679</v>
      </c>
      <c r="X191">
        <f>SQRT(($T191*1000+coord!$B$7*$R191*$U191*1000-coord!$B$2)^2+($U191*1000-coord!$B$7*$R191*$T191*1000-coord!$C$2)^2+($V191*1000-coord!$D$2)^2)</f>
        <v>20352904.912963983</v>
      </c>
      <c r="Y191" s="3">
        <f>$D191-(X191-$W191)-coord!$E$2</f>
        <v>0.48466389253735542</v>
      </c>
      <c r="Z191" s="3"/>
      <c r="AB191">
        <f>-(T191*1000-coord!$B$2)/$X191</f>
        <v>-0.42328124677744305</v>
      </c>
      <c r="AC191">
        <f>-(U191*1000-coord!$C$2)/$X191</f>
        <v>-0.28473098491342141</v>
      </c>
      <c r="AD191">
        <f>-(V191*1000-coord!$D$2)/$X191</f>
        <v>-0.86009398898402634</v>
      </c>
      <c r="AE191">
        <v>1</v>
      </c>
      <c r="BD191">
        <f>SQRT(($T191*1000+coord!$B$7*$R191*$U191*1000-coord!$B$2-BA$186)^2+($U191*1000-coord!$B$7*$R191*$T191*1000-coord!$C$2-BA$187)^2+($V191*1000-coord!$D$2-BA$188)^2)</f>
        <v>20352891.517794393</v>
      </c>
      <c r="BE191" s="3">
        <f t="shared" si="117"/>
        <v>2.1924218510223881</v>
      </c>
      <c r="BG191" s="1"/>
      <c r="BH191" s="1"/>
      <c r="BI191" s="1"/>
      <c r="CG191" s="1"/>
      <c r="CH191" s="1"/>
      <c r="CI191" s="1"/>
    </row>
    <row r="192" spans="1:111">
      <c r="A192">
        <v>50</v>
      </c>
      <c r="B192">
        <f t="shared" si="112"/>
        <v>0.66666666666666674</v>
      </c>
      <c r="C192">
        <v>7</v>
      </c>
      <c r="D192">
        <f>tetto!D192*coord!$B$13-tetto!G192*coord!$B$14</f>
        <v>21428885.182408329</v>
      </c>
      <c r="E192" s="5">
        <f>90-DEGREES(ACOS((coord!$B$2*($T192*1000-coord!$B$2)+coord!$C$2*($U192*1000-coord!$C$2)+coord!$D$2*($V192*1000-coord!$D$2))/(SQRT(coord!$B$2^2+coord!$C$2^2+coord!$D$2^2)*SQRT(($T192*1000-coord!$B$2)^2+($U192*1000-coord!$C$2)^2+($V192*1000-coord!$D$2)^2))))</f>
        <v>50.40326445258605</v>
      </c>
      <c r="F192">
        <f>(coord!$C$2*($V192*1000-coord!$D$2)-coord!$D$2*($U192*1000-coord!$C$2))/(SQRT(coord!$B$2^2+coord!$C$2^2+coord!$D$2^2)*SQRT(($T192*1000-coord!$B$2)^2+($U192*1000-coord!$C$2)^2+($V192*1000-coord!$D$2)^2))</f>
        <v>-0.17171227833732552</v>
      </c>
      <c r="G192">
        <f>(-coord!$B$2*($V192*1000-coord!$D$2)+coord!$D$2*($T192*1000-coord!$B$2))/(SQRT(coord!$B$2^2+coord!$C$2^2+coord!$D$2^2)*SQRT(($T192*1000-coord!$B$2)^2+($U192*1000-coord!$C$2)^2+($V192*1000-coord!$D$2)^2))</f>
        <v>0.61241236122226672</v>
      </c>
      <c r="H192">
        <f>(coord!$B$2*($U192*1000-coord!$C$2)-coord!$C$2*($T192*1000-coord!$B$2))/(SQRT(coord!$B$2^2+coord!$C$2^2+coord!$D$2^2)*SQRT(($T192*1000-coord!$B$2)^2+($U192*1000-coord!$C$2)^2+($V192*1000-coord!$D$2)^2))</f>
        <v>4.1465290928621369E-2</v>
      </c>
      <c r="I192">
        <f t="shared" si="113"/>
        <v>5.886795023291197E-2</v>
      </c>
      <c r="J192">
        <f t="shared" si="114"/>
        <v>0.63465573605316894</v>
      </c>
      <c r="K192">
        <f t="shared" si="115"/>
        <v>1.9542673363806898E-4</v>
      </c>
      <c r="L192">
        <f t="shared" si="116"/>
        <v>174.70065182839448</v>
      </c>
      <c r="M192" s="5">
        <f>'sv07'!$AA$3+'sv07'!$Z$3*($B192)+'sv07'!$Y$3*($B192)^2+'sv07'!$X$3*($B192)^3+'sv07'!$W$3*($B192)^4+'sv07'!$V$3*($B192)^5+'sv07'!$U$3*($B192)^6+'sv07'!$T$3*($B192)^7+'sv07'!$S$3*($B192)^8</f>
        <v>24955.824365640456</v>
      </c>
      <c r="N192" s="5">
        <f>'sv07'!$AA$4+'sv07'!$Z$4*($B192)+'sv07'!$Y$4*($B192)^2+'sv07'!$X$4*($B192)^3+'sv07'!$W$4*($B192)^4+'sv07'!$V$4*($B192)^5+'sv07'!$U$4*($B192)^6+'sv07'!$T$4*($B192)^7+'sv07'!$S$4*($B192)^8</f>
        <v>6546.5142918942547</v>
      </c>
      <c r="O192" s="5">
        <f>'sv07'!$AA$5+'sv07'!$Z$5*($B192)+'sv07'!$Y$5*($B192)^2+'sv07'!$X$5*($B192)^3+'sv07'!$W$5*($B192)^4+'sv07'!$V$5*($B192)^5+'sv07'!$U$5*($B192)^6+'sv07'!$T$5*($B192)^7+'sv07'!$S$5*($B192)^8</f>
        <v>6660.1971888925736</v>
      </c>
      <c r="P192" s="5">
        <f>'sv07'!$AA$6+'sv07'!$Z$6*$B192+'sv07'!$Y$6*$B192^2+'sv07'!$X$6*$B192^3+'sv07'!$W$6*$B192^4+'sv07'!$V$6*$B192^5+'sv07'!$U$6*$B192^6+'sv07'!$T$6*$B192^7+'sv07'!$S$6*$B192^8</f>
        <v>-0.63812332877638611</v>
      </c>
      <c r="R192">
        <f>SQRT(($M192*1000-coord!$B$2)^2+($N192*1000-coord!$C$2)^2+($O192*1000-coord!$D$2)^2)/coord!$B$6</f>
        <v>7.1478336711385773E-2</v>
      </c>
      <c r="T192" s="5">
        <f>'sv07'!$AA$3+'sv07'!$Z$3*($B192-$R192/3600)+'sv07'!$Y$3*($B192-$R192/3600)^2+'sv07'!$X$3*($B192-$R192/3600)^3+'sv07'!$W$3*($B192-$R192/3600)^4+'sv07'!$V$3*($B192-$R192/3600)^5+'sv07'!$U$3*($B192-$R192/3600)^6+'sv07'!$T$3*($B192-$R192/3600)^7+'sv07'!$S$3*($B192-$R192/3600)^8+N192*coord!$B$7*R192</f>
        <v>24955.919766987961</v>
      </c>
      <c r="U192" s="5">
        <f>'sv07'!$AA$4+'sv07'!$Z$4*($B192-$R192/3600)+'sv07'!$Y$4*($B192-$R192/3600)^2+'sv07'!$X$4*($B192-$R192/3600)^3+'sv07'!$W$4*($B192-$R192/3600)^4+'sv07'!$V$4*($B192-$R192/3600)^5+'sv07'!$U$4*($B192-$R192/3600)^6+'sv07'!$T$4*($B192-$R192/3600)^7+'sv07'!$S$4*($B192-$R192/3600)^8-M192*coord!$B$7*R192</f>
        <v>6546.3731398394984</v>
      </c>
      <c r="V192" s="5">
        <f>'sv07'!$AA$5+'sv07'!$Z$5*($B192-$R192/3600)+'sv07'!$Y$5*($B192-$R192/3600)^2+'sv07'!$X$5*($B192-$R192/3600)^3+'sv07'!$W$5*($B192-$R192/3600)^4+'sv07'!$V$5*($B192-$R192/3600)^5+'sv07'!$U$5*($B192-$R192/3600)^6+'sv07'!$T$5*($B192-$R192/3600)^7+'sv07'!$S$5*($B192-$R192/3600)^8</f>
        <v>6659.9800217789389</v>
      </c>
      <c r="W192">
        <f>coord!$B$6*P192/10^6</f>
        <v>-191.30456124101494</v>
      </c>
      <c r="X192">
        <f>SQRT(($T192*1000+coord!$B$7*$R192*$U192*1000-coord!$B$2)^2+($U192*1000-coord!$B$7*$R192*$T192*1000-coord!$C$2)^2+($V192*1000-coord!$D$2)^2)</f>
        <v>21428697.721435156</v>
      </c>
      <c r="Y192" s="3">
        <f>$D192-(X192-$W192)-coord!$E$2</f>
        <v>-3.8435880690813065</v>
      </c>
      <c r="Z192" s="3" t="s">
        <v>127</v>
      </c>
      <c r="AA192" s="1" t="s">
        <v>128</v>
      </c>
      <c r="AB192">
        <f>-(T192*1000-coord!$B$2)/$X192</f>
        <v>-0.95978961780839911</v>
      </c>
      <c r="AC192">
        <f>-(U192*1000-coord!$C$2)/$X192</f>
        <v>-0.26234925704402473</v>
      </c>
      <c r="AD192">
        <f>-(V192*1000-coord!$D$2)/$X192</f>
        <v>-9.9884359530532874E-2</v>
      </c>
      <c r="AE192">
        <v>1</v>
      </c>
      <c r="BD192">
        <f>SQRT(($T192*1000+coord!$B$7*$R192*$U192*1000-coord!$B$2-BA$186)^2+($U192*1000-coord!$B$7*$R192*$T192*1000-coord!$C$2-BA$187)^2+($V192*1000-coord!$D$2-BA$188)^2)</f>
        <v>21428686.393004928</v>
      </c>
      <c r="BE192" s="3">
        <f t="shared" si="117"/>
        <v>-4.202569472329472</v>
      </c>
      <c r="BF192" s="3" t="s">
        <v>127</v>
      </c>
      <c r="BG192" s="1" t="s">
        <v>128</v>
      </c>
      <c r="BH192" s="1"/>
      <c r="BI192" s="1"/>
      <c r="CG192" s="1"/>
      <c r="CH192" s="1"/>
      <c r="CI192" s="1"/>
    </row>
    <row r="193" spans="1:111">
      <c r="Y193" s="3"/>
      <c r="Z193" s="3">
        <f>AVERAGE($Y186:$Y192)</f>
        <v>-1.2337581898484911</v>
      </c>
      <c r="AA193" s="1">
        <f>SQRT(DEVSQ($Y186:$Y192)/6)</f>
        <v>14.530492492629541</v>
      </c>
      <c r="BE193" s="3"/>
      <c r="BF193" s="3">
        <f>AVERAGE($BE186:$BE192)</f>
        <v>6.1779290922865069E-5</v>
      </c>
      <c r="BG193" s="1">
        <f>SQRT(DEVSQ($BE186:$BE192)/6)</f>
        <v>3.7525038457251072</v>
      </c>
      <c r="BH193" s="1"/>
      <c r="BI193" s="1"/>
      <c r="CG193" s="1"/>
      <c r="CH193" s="1"/>
      <c r="CI193" s="1"/>
    </row>
    <row r="194" spans="1:111">
      <c r="A194">
        <v>52</v>
      </c>
      <c r="B194">
        <f t="shared" ref="B194:B200" si="118">(60-45)/60+30*A194/3600</f>
        <v>0.68333333333333335</v>
      </c>
      <c r="C194">
        <v>2</v>
      </c>
      <c r="D194">
        <f>tetto!D194*coord!$B$13-tetto!G194*coord!$B$14</f>
        <v>22276537.549527697</v>
      </c>
      <c r="E194" s="5">
        <f>90-DEGREES(ACOS((coord!$B$2*($T194*1000-coord!$B$2)+coord!$C$2*($U194*1000-coord!$C$2)+coord!$D$2*($V194*1000-coord!$D$2))/(SQRT(coord!$B$2^2+coord!$C$2^2+coord!$D$2^2)*SQRT(($T194*1000-coord!$B$2)^2+($U194*1000-coord!$C$2)^2+($V194*1000-coord!$D$2)^2))))</f>
        <v>34.101340805370178</v>
      </c>
      <c r="F194">
        <f>(coord!$C$2*($V194*1000-coord!$D$2)-coord!$D$2*($U194*1000-coord!$C$2))/(SQRT(coord!$B$2^2+coord!$C$2^2+coord!$D$2^2)*SQRT(($T194*1000-coord!$B$2)^2+($U194*1000-coord!$C$2)^2+($V194*1000-coord!$D$2)^2))</f>
        <v>0.58095609706872997</v>
      </c>
      <c r="G194">
        <f>(-coord!$B$2*($V194*1000-coord!$D$2)+coord!$D$2*($T194*1000-coord!$B$2))/(SQRT(coord!$B$2^2+coord!$C$2^2+coord!$D$2^2)*SQRT(($T194*1000-coord!$B$2)^2+($U194*1000-coord!$C$2)^2+($V194*1000-coord!$D$2)^2))</f>
        <v>-0.31314015550768631</v>
      </c>
      <c r="H194">
        <f>(coord!$B$2*($U194*1000-coord!$C$2)-coord!$C$2*($T194*1000-coord!$B$2))/(SQRT(coord!$B$2^2+coord!$C$2^2+coord!$D$2^2)*SQRT(($T194*1000-coord!$B$2)^2+($U194*1000-coord!$C$2)^2+($V194*1000-coord!$D$2)^2))</f>
        <v>-0.50009543681917779</v>
      </c>
      <c r="I194">
        <f t="shared" ref="I194:I200" si="119">$F194*$CA$2+$G194*$CB$2+$H194*$CC$2</f>
        <v>-0.70995515417025223</v>
      </c>
      <c r="J194">
        <f t="shared" ref="J194:J200" si="120">$F194*$CA$3+$G194*$CB$3+$H194*$CC$3</f>
        <v>-0.42616920338901221</v>
      </c>
      <c r="K194">
        <f t="shared" ref="K194:K200" si="121">$F194*$CA$4+$G194*$CB$4+$H194*$CC$4</f>
        <v>-2.3830211795243805E-3</v>
      </c>
      <c r="L194">
        <f t="shared" ref="L194:L200" si="122">90+DEGREES(ATAN2(I194,J194))</f>
        <v>-59.024607524991353</v>
      </c>
      <c r="M194" s="5">
        <f>'sv02'!$AA$3+'sv02'!$Z$3*($B194)+'sv02'!$Y$3*($B194)^2+'sv02'!$X$3*($B194)^3+'sv02'!$W$3*($B194)^4+'sv02'!$V$3*($B194)^5+'sv02'!$U$3*($B194)^6+'sv02'!$T$3*($B194)^7+'sv02'!$S$3*($B194)^8</f>
        <v>9682.4143593666195</v>
      </c>
      <c r="N194" s="5">
        <f>'sv02'!$AA$4+'sv02'!$Z$4*($B194)+'sv02'!$Y$4*($B194)^2+'sv02'!$X$4*($B194)^3+'sv02'!$W$4*($B194)^4+'sv02'!$V$4*($B194)^5+'sv02'!$U$4*($B194)^6+'sv02'!$T$4*($B194)^7+'sv02'!$S$4*($B194)^8</f>
        <v>-14178.818638043411</v>
      </c>
      <c r="O194" s="5">
        <f>'sv02'!$AA$5+'sv02'!$Z$5*($B194)+'sv02'!$Y$5*($B194)^2+'sv02'!$X$5*($B194)^3+'sv02'!$W$5*($B194)^4+'sv02'!$V$5*($B194)^5+'sv02'!$U$5*($B194)^6+'sv02'!$T$5*($B194)^7+'sv02'!$S$5*($B194)^8</f>
        <v>20125.84245115512</v>
      </c>
      <c r="P194" s="5">
        <f>'sv02'!$AA$6+'sv02'!$Z$6*$B194+'sv02'!$Y$6*$B194^2+'sv02'!$X$6*$B194^3+'sv02'!$W$6*$B194^4+'sv02'!$V$6*$B194^5+'sv02'!$U$6*$B194^6+'sv02'!$T$6*$B194^7+'sv02'!$S$6*$B194^8</f>
        <v>257.59481696697895</v>
      </c>
      <c r="R194">
        <f>SQRT(($M194*1000-coord!$B$2)^2+($N194*1000-coord!$C$2)^2+($O194*1000-coord!$D$2)^2)/coord!$B$6</f>
        <v>7.456400264547372E-2</v>
      </c>
      <c r="T194" s="5">
        <f>'sv02'!$AA$3+'sv02'!$Z$3*($B194-$R194/3600)+'sv02'!$Y$3*($B194-$R194/3600)^2+'sv02'!$X$3*($B194-$R194/3600)^3+'sv02'!$W$3*($B194-$R194/3600)^4+'sv02'!$V$3*($B194-$R194/3600)^5+'sv02'!$U$3*($B194-$R194/3600)^6+'sv02'!$T$3*($B194-$R194/3600)^7+'sv02'!$S$3*($B194-$R194/3600)^8+N194*coord!$B$7*R194</f>
        <v>9682.1457328256456</v>
      </c>
      <c r="U194" s="5">
        <f>'sv02'!$AA$4+'sv02'!$Z$4*($B194-$R194/3600)+'sv02'!$Y$4*($B194-$R194/3600)^2+'sv02'!$X$4*($B194-$R194/3600)^3+'sv02'!$W$4*($B194-$R194/3600)^4+'sv02'!$V$4*($B194-$R194/3600)^5+'sv02'!$U$4*($B194-$R194/3600)^6+'sv02'!$T$4*($B194-$R194/3600)^7+'sv02'!$S$4*($B194-$R194/3600)^8-M194*coord!$B$7*R194</f>
        <v>-14178.892552885685</v>
      </c>
      <c r="V194" s="5">
        <f>'sv02'!$AA$5+'sv02'!$Z$5*($B194-$R194/3600)+'sv02'!$Y$5*($B194-$R194/3600)^2+'sv02'!$X$5*($B194-$R194/3600)^3+'sv02'!$W$5*($B194-$R194/3600)^4+'sv02'!$V$5*($B194-$R194/3600)^5+'sv02'!$U$5*($B194-$R194/3600)^6+'sv02'!$T$5*($B194-$R194/3600)^7+'sv02'!$S$5*($B194-$R194/3600)^8</f>
        <v>20125.922922127476</v>
      </c>
      <c r="W194">
        <f>coord!$B$6*P194/10^6</f>
        <v>77224.983346590729</v>
      </c>
      <c r="X194">
        <f>SQRT(($T194*1000+coord!$B$7*$R194*$U194*1000-coord!$B$2)^2+($U194*1000-coord!$B$7*$R194*$T194*1000-coord!$C$2)^2+($V194*1000-coord!$D$2)^2)</f>
        <v>22353785.456273403</v>
      </c>
      <c r="Y194" s="3">
        <f>$D194-(X194-$W194)-coord!$E$2</f>
        <v>-22.923399116843939</v>
      </c>
      <c r="Z194" s="3"/>
      <c r="AB194">
        <f>-(T194*1000-coord!$B$2)/$X194</f>
        <v>-0.23679513129352928</v>
      </c>
      <c r="AC194">
        <f>-(U194*1000-coord!$C$2)/$X194</f>
        <v>0.67565570921443296</v>
      </c>
      <c r="AD194">
        <f>-(V194*1000-coord!$D$2)/$X194</f>
        <v>-0.69815175950199926</v>
      </c>
      <c r="AE194">
        <v>1</v>
      </c>
      <c r="AG194">
        <f t="array" ref="AG194:AM197">TRANSPOSE(AB194:AE200)</f>
        <v>-0.23679513129352928</v>
      </c>
      <c r="AH194">
        <v>-0.12834018593517038</v>
      </c>
      <c r="AI194">
        <v>-0.19909034865372519</v>
      </c>
      <c r="AJ194">
        <v>-0.87646225029736913</v>
      </c>
      <c r="AK194">
        <v>-0.41306079695165104</v>
      </c>
      <c r="AL194">
        <v>-0.4179396530474136</v>
      </c>
      <c r="AM194">
        <v>-0.95863561891886373</v>
      </c>
      <c r="AO194">
        <f t="array" ref="AO194:AR197">MMULT(AG194:AM197,AB194:AE200)</f>
        <v>2.1446412060812623</v>
      </c>
      <c r="AP194">
        <v>0.22093139280271173</v>
      </c>
      <c r="AQ194">
        <v>1.1184949390619103</v>
      </c>
      <c r="AR194">
        <v>-3.2303239850977223</v>
      </c>
      <c r="AT194">
        <f t="array" ref="AT194:AW197">MINVERSE(AO194:AR197)</f>
        <v>2.6502106677136337</v>
      </c>
      <c r="AU194">
        <v>0.33552672532082339</v>
      </c>
      <c r="AV194">
        <v>1.7229318158384352</v>
      </c>
      <c r="AW194">
        <v>2.0694425502599438</v>
      </c>
      <c r="AY194">
        <f t="array" ref="AY194:AY197">MMULT(AG194:AM197,Y194:Y200)</f>
        <v>4.2257525927883242</v>
      </c>
      <c r="BA194">
        <f t="array" ref="BA194:BA197">MMULT(AT194:AW197,AY194:AY197)</f>
        <v>14.003424585112981</v>
      </c>
      <c r="BD194">
        <f>SQRT(($T194*1000+coord!$B$7*$R194*$U194*1000-coord!$B$2-BA$194)^2+($U194*1000-coord!$B$7*$R194*$T194*1000-coord!$C$2-BA$195)^2+($V194*1000-coord!$D$2-BA$196)^2)</f>
        <v>22353755.98252463</v>
      </c>
      <c r="BE194" s="3">
        <f>$D194-(BD194-$W194)-BA$197</f>
        <v>-5.6169164343687328</v>
      </c>
      <c r="BG194" s="1">
        <f>coord!$B$2+$BA194</f>
        <v>4388892.1742245853</v>
      </c>
      <c r="BH194" s="1">
        <f>coord!$C$2+$BA195</f>
        <v>924548.41669867421</v>
      </c>
      <c r="BI194" s="1">
        <f>coord!$D$2+$BA196</f>
        <v>4519604.6473504659</v>
      </c>
      <c r="BJ194" s="1">
        <f>coord!$E$2+$BA197</f>
        <v>12.167266090861204</v>
      </c>
      <c r="BK194">
        <f>lat($BG194,$BH194,$BI194)</f>
        <v>45.411215681375474</v>
      </c>
      <c r="BL194">
        <f>lon($BG194,$BH194,$BI194)</f>
        <v>11.89579720037341</v>
      </c>
      <c r="BM194">
        <f>h($BG194,$BH194,$BI194)</f>
        <v>80.246774689294398</v>
      </c>
      <c r="BO194">
        <f>grado($BK194)</f>
        <v>45</v>
      </c>
      <c r="BP194">
        <f>MINUTOprimo($BK194)</f>
        <v>24</v>
      </c>
      <c r="BQ194">
        <f>MINUTOsecondo($BK194)</f>
        <v>40.376452951705346</v>
      </c>
      <c r="BR194">
        <f>grado($BL194)</f>
        <v>11</v>
      </c>
      <c r="BS194">
        <f>MINUTOprimo($BL194)</f>
        <v>53</v>
      </c>
      <c r="BT194">
        <f>MINUTOsecondo($BL194)</f>
        <v>44.869921344276946</v>
      </c>
      <c r="BV194">
        <f>-SIN(RADIANS(BK194))*COS(RADIANS(BL194))</f>
        <v>-0.69686913331344924</v>
      </c>
      <c r="BW194">
        <f>-SIN(RADIANS(BL194))</f>
        <v>-0.20613240857443677</v>
      </c>
      <c r="BX194">
        <f>COS(RADIANS(BK194))*COS(RADIANS(BL194))</f>
        <v>0.68693729056607744</v>
      </c>
      <c r="BZ194" t="s">
        <v>93</v>
      </c>
      <c r="CA194">
        <f t="array" ref="CA194:CC196">MINVERSE(BV194:BX196)</f>
        <v>-0.69686913331344935</v>
      </c>
      <c r="CB194">
        <v>-0.14679997326772196</v>
      </c>
      <c r="CC194">
        <v>0.70201366004057086</v>
      </c>
      <c r="CD194">
        <v>0</v>
      </c>
      <c r="CE194" s="1">
        <f t="array" ref="CE194:CE196">MMULT(CA194:CC196,BA194:BA196)</f>
        <v>4.9352765419279168</v>
      </c>
      <c r="CG194" s="1">
        <f t="array" ref="CG194:CI194">TRANSPOSE(CE194:CE196)</f>
        <v>4.9352765419279168</v>
      </c>
      <c r="CH194" s="1">
        <v>-24.214961657520835</v>
      </c>
      <c r="CI194" s="1">
        <v>18.12564010214901</v>
      </c>
      <c r="CK194">
        <f t="array" ref="CK194:CN197">MMULT(CA194:CD197,AT194:AW197)</f>
        <v>-0.68658365537827359</v>
      </c>
      <c r="CL194">
        <v>8.266102948828058E-2</v>
      </c>
      <c r="CM194">
        <v>0.5793540695413022</v>
      </c>
      <c r="CN194">
        <v>-3.3847829151157693E-2</v>
      </c>
      <c r="CP194">
        <f t="array" ref="CP194:CS197">TRANSPOSE(CA194:CD197)</f>
        <v>-0.69686913331344935</v>
      </c>
      <c r="CQ194">
        <v>-0.20613240857443679</v>
      </c>
      <c r="CR194">
        <v>0.68693729056607744</v>
      </c>
      <c r="CS194">
        <v>0</v>
      </c>
      <c r="CU194" s="5">
        <f t="array" ref="CU194:CX197">MMULT(CK194:CN197,CP194:CS197)</f>
        <v>0.87303879076956448</v>
      </c>
      <c r="CV194" s="5">
        <v>0.22241295272571357</v>
      </c>
      <c r="CW194" s="5">
        <v>-4.7083413153344633E-2</v>
      </c>
      <c r="CX194" s="5">
        <v>-3.3847829151157693E-2</v>
      </c>
      <c r="CZ194" s="3">
        <f>SQRT(CU194+CV195)</f>
        <v>1.164747698900247</v>
      </c>
      <c r="DA194" s="3">
        <f>CW196</f>
        <v>4.4753636019884873</v>
      </c>
      <c r="DB194" s="3">
        <f>CX197</f>
        <v>2.1323425814826011</v>
      </c>
      <c r="DC194" s="3">
        <f>BE201</f>
        <v>0</v>
      </c>
      <c r="DD194">
        <v>6</v>
      </c>
      <c r="DE194" s="6">
        <f>DB194*DD194*DC194</f>
        <v>0</v>
      </c>
      <c r="DF194">
        <v>5.33</v>
      </c>
      <c r="DG194" s="6">
        <f>DC194*DF194*SQRT(0.5*(CU194+CV195)+SQRT((0.5*(CU194-CV195))^2+CV194^2))</f>
        <v>0</v>
      </c>
    </row>
    <row r="195" spans="1:111">
      <c r="A195">
        <v>52</v>
      </c>
      <c r="B195">
        <f t="shared" si="118"/>
        <v>0.68333333333333335</v>
      </c>
      <c r="C195">
        <v>23</v>
      </c>
      <c r="D195">
        <f>tetto!D195*coord!$B$13-tetto!G195*coord!$B$14</f>
        <v>21432312.632513523</v>
      </c>
      <c r="E195" s="5">
        <f>90-DEGREES(ACOS((coord!$B$2*($T195*1000-coord!$B$2)+coord!$C$2*($U195*1000-coord!$C$2)+coord!$D$2*($V195*1000-coord!$D$2))/(SQRT(coord!$B$2^2+coord!$C$2^2+coord!$D$2^2)*SQRT(($T195*1000-coord!$B$2)^2+($U195*1000-coord!$C$2)^2+($V195*1000-coord!$D$2)^2))))</f>
        <v>45.815480404974018</v>
      </c>
      <c r="F195">
        <f>(coord!$C$2*($V195*1000-coord!$D$2)-coord!$D$2*($U195*1000-coord!$C$2))/(SQRT(coord!$B$2^2+coord!$C$2^2+coord!$D$2^2)*SQRT(($T195*1000-coord!$B$2)^2+($U195*1000-coord!$C$2)^2+($V195*1000-coord!$D$2)^2))</f>
        <v>-0.34795299706056465</v>
      </c>
      <c r="G195">
        <f>(-coord!$B$2*($V195*1000-coord!$D$2)+coord!$D$2*($T195*1000-coord!$B$2))/(SQRT(coord!$B$2^2+coord!$C$2^2+coord!$D$2^2)*SQRT(($T195*1000-coord!$B$2)^2+($U195*1000-coord!$C$2)^2+($V195*1000-coord!$D$2)^2))</f>
        <v>-0.42849465097799866</v>
      </c>
      <c r="H195">
        <f>(coord!$B$2*($U195*1000-coord!$C$2)-coord!$C$2*($T195*1000-coord!$B$2))/(SQRT(coord!$B$2^2+coord!$C$2^2+coord!$D$2^2)*SQRT(($T195*1000-coord!$B$2)^2+($U195*1000-coord!$C$2)^2+($V195*1000-coord!$D$2)^2))</f>
        <v>0.42554688333224777</v>
      </c>
      <c r="I195">
        <f t="shared" si="119"/>
        <v>0.60412049743010332</v>
      </c>
      <c r="J195">
        <f t="shared" si="120"/>
        <v>-0.34756784411865166</v>
      </c>
      <c r="K195">
        <f t="shared" si="121"/>
        <v>2.0303481211447205E-3</v>
      </c>
      <c r="L195">
        <f t="shared" si="122"/>
        <v>60.086947742506531</v>
      </c>
      <c r="M195" s="5">
        <f>'sv23'!$AA$3+'sv23'!$Z$3*($B195)+'sv23'!$Y$3*($B195)^2+'sv23'!$X$3*($B195)^3+'sv23'!$W$3*($B195)^4+'sv23'!$V$3*($B195)^5+'sv23'!$U$3*($B195)^6+'sv23'!$T$3*($B195)^7+'sv23'!$S$3*($B195)^8</f>
        <v>7153.5506134303914</v>
      </c>
      <c r="N195" s="5">
        <f>'sv23'!$AA$4+'sv23'!$Z$4*($B195)+'sv23'!$Y$4*($B195)^2+'sv23'!$X$4*($B195)^3+'sv23'!$W$4*($B195)^4+'sv23'!$V$4*($B195)^5+'sv23'!$U$4*($B195)^6+'sv23'!$T$4*($B195)^7+'sv23'!$S$4*($B195)^8</f>
        <v>14807.690334881232</v>
      </c>
      <c r="O195" s="5">
        <f>'sv23'!$AA$5+'sv23'!$Z$5*($B195)+'sv23'!$Y$5*($B195)^2+'sv23'!$X$5*($B195)^3+'sv23'!$W$5*($B195)^4+'sv23'!$V$5*($B195)^5+'sv23'!$U$5*($B195)^6+'sv23'!$T$5*($B195)^7+'sv23'!$S$5*($B195)^8</f>
        <v>20759.334045515367</v>
      </c>
      <c r="P195" s="5">
        <f>'sv23'!$AA$6+'sv23'!$Z$6*$B195+'sv23'!$Y$6*$B195^2+'sv23'!$X$6*$B195^3+'sv23'!$W$6*$B195^4+'sv23'!$V$6*$B195^5+'sv23'!$U$6*$B195^6+'sv23'!$T$6*$B195^7+'sv23'!$S$6*$B195^8</f>
        <v>370.05545231573871</v>
      </c>
      <c r="R195">
        <f>SQRT(($M195*1000-coord!$B$2)^2+($N195*1000-coord!$C$2)^2+($O195*1000-coord!$D$2)^2)/coord!$B$6</f>
        <v>7.1860714173851328E-2</v>
      </c>
      <c r="T195" s="5">
        <f>'sv23'!$AA$3+'sv23'!$Z$3*($B195-$R195/3600)+'sv23'!$Y$3*($B195-$R195/3600)^2+'sv23'!$X$3*($B195-$R195/3600)^3+'sv23'!$W$3*($B195-$R195/3600)^4+'sv23'!$V$3*($B195-$R195/3600)^5+'sv23'!$U$3*($B195-$R195/3600)^6+'sv23'!$T$3*($B195-$R195/3600)^7+'sv23'!$S$3*($B195-$R195/3600)^8+N195*coord!$B$7*R195</f>
        <v>7153.7418683492078</v>
      </c>
      <c r="U195" s="5">
        <f>'sv23'!$AA$4+'sv23'!$Z$4*($B195-$R195/3600)+'sv23'!$Y$4*($B195-$R195/3600)^2+'sv23'!$X$4*($B195-$R195/3600)^3+'sv23'!$W$4*($B195-$R195/3600)^4+'sv23'!$V$4*($B195-$R195/3600)^5+'sv23'!$U$4*($B195-$R195/3600)^6+'sv23'!$T$4*($B195-$R195/3600)^7+'sv23'!$S$4*($B195-$R195/3600)^8-M195*coord!$B$7*R195</f>
        <v>14807.500098507926</v>
      </c>
      <c r="V195" s="5">
        <f>'sv23'!$AA$5+'sv23'!$Z$5*($B195-$R195/3600)+'sv23'!$Y$5*($B195-$R195/3600)^2+'sv23'!$X$5*($B195-$R195/3600)^3+'sv23'!$W$5*($B195-$R195/3600)^4+'sv23'!$V$5*($B195-$R195/3600)^5+'sv23'!$U$5*($B195-$R195/3600)^6+'sv23'!$T$5*($B195-$R195/3600)^7+'sv23'!$S$5*($B195-$R195/3600)^8</f>
        <v>20759.405968811479</v>
      </c>
      <c r="W195">
        <f>coord!$B$6*P195/10^6</f>
        <v>110939.83364603709</v>
      </c>
      <c r="X195">
        <f>SQRT(($T195*1000+coord!$B$7*$R195*$U195*1000-coord!$B$2)^2+($U195*1000-coord!$B$7*$R195*$T195*1000-coord!$C$2)^2+($V195*1000-coord!$D$2)^2)</f>
        <v>21543242.106146295</v>
      </c>
      <c r="Y195" s="3">
        <f>$D195-(X195-$W195)-coord!$E$2</f>
        <v>10.360013265162706</v>
      </c>
      <c r="Z195" s="3"/>
      <c r="AB195">
        <f>-(T195*1000-coord!$B$2)/$X195</f>
        <v>-0.12834018593517038</v>
      </c>
      <c r="AC195">
        <f>-(U195*1000-coord!$C$2)/$X195</f>
        <v>-0.64442156927471572</v>
      </c>
      <c r="AD195">
        <f>-(V195*1000-coord!$D$2)/$X195</f>
        <v>-0.75382422081578204</v>
      </c>
      <c r="AE195">
        <v>1</v>
      </c>
      <c r="AG195">
        <v>0.67565570921443296</v>
      </c>
      <c r="AH195">
        <v>-0.64442156927471572</v>
      </c>
      <c r="AI195">
        <v>0.69674223807114477</v>
      </c>
      <c r="AJ195">
        <v>0.35608137733728074</v>
      </c>
      <c r="AK195">
        <v>-0.90808695418296059</v>
      </c>
      <c r="AL195">
        <v>-0.29113854813353712</v>
      </c>
      <c r="AM195">
        <v>-0.26313571262458574</v>
      </c>
      <c r="AO195">
        <v>0.22093139280271173</v>
      </c>
      <c r="AP195">
        <v>2.462657463764387</v>
      </c>
      <c r="AQ195">
        <v>-0.36503177111747559</v>
      </c>
      <c r="AR195">
        <v>-0.37830345959294071</v>
      </c>
      <c r="AT195">
        <v>0.33552672532082378</v>
      </c>
      <c r="AU195">
        <v>0.52881426189106095</v>
      </c>
      <c r="AV195">
        <v>0.56139814608810334</v>
      </c>
      <c r="AW195">
        <v>0.45330966931852851</v>
      </c>
      <c r="AY195">
        <v>-61.163123042545692</v>
      </c>
      <c r="BA195">
        <v>-21.79650132574416</v>
      </c>
      <c r="BD195">
        <f>SQRT(($T195*1000+coord!$B$7*$R195*$U195*1000-coord!$B$2-BA$194)^2+($U195*1000-coord!$B$7*$R195*$T195*1000-coord!$C$2-BA$195)^2+($V195*1000-coord!$D$2-BA$196)^2)</f>
        <v>21543242.012611192</v>
      </c>
      <c r="BE195" s="3">
        <f t="shared" ref="BE195:BE200" si="123">$D195-(BD195-$W195)-BA$197</f>
        <v>-1.7137177227946552</v>
      </c>
      <c r="BG195" s="1"/>
      <c r="BH195" s="1"/>
      <c r="BI195" s="1"/>
      <c r="BV195">
        <f>-SIN(RADIANS(BK194))*SIN(RADIANS(BL194))</f>
        <v>-0.14679997326772196</v>
      </c>
      <c r="BW195">
        <f>COS(RADIANS(BL194))</f>
        <v>0.97852410810122681</v>
      </c>
      <c r="BX195">
        <f>COS(RADIANS(BK194))*SIN(RADIANS(BL194))</f>
        <v>0.1447077665963187</v>
      </c>
      <c r="BZ195" t="s">
        <v>94</v>
      </c>
      <c r="CA195">
        <v>-0.20613240857443679</v>
      </c>
      <c r="CB195">
        <v>0.97852410810122681</v>
      </c>
      <c r="CC195">
        <v>0</v>
      </c>
      <c r="CD195">
        <v>0</v>
      </c>
      <c r="CE195" s="1">
        <v>-24.214961657520835</v>
      </c>
      <c r="CG195" s="1"/>
      <c r="CH195" s="1"/>
      <c r="CI195" s="1"/>
      <c r="CK195">
        <v>-0.21797331852679325</v>
      </c>
      <c r="CL195">
        <v>0.44829457193668426</v>
      </c>
      <c r="CM195">
        <v>0.19418953518223891</v>
      </c>
      <c r="CN195">
        <v>1.699526257206796E-2</v>
      </c>
      <c r="CP195">
        <v>-0.14679997326772196</v>
      </c>
      <c r="CQ195">
        <v>0.97852410810122681</v>
      </c>
      <c r="CR195">
        <v>0.1447077665963187</v>
      </c>
      <c r="CS195">
        <v>0</v>
      </c>
      <c r="CU195" s="5">
        <v>0.22241295272571349</v>
      </c>
      <c r="CV195" s="5">
        <v>0.48359841132385606</v>
      </c>
      <c r="CW195" s="5">
        <v>5.3432400438722133E-2</v>
      </c>
      <c r="CX195" s="5">
        <v>1.699526257206796E-2</v>
      </c>
    </row>
    <row r="196" spans="1:111">
      <c r="A196">
        <v>52</v>
      </c>
      <c r="B196">
        <f t="shared" si="118"/>
        <v>0.68333333333333335</v>
      </c>
      <c r="C196">
        <v>10</v>
      </c>
      <c r="D196">
        <f>tetto!D196*coord!$B$13-tetto!G196*coord!$B$14</f>
        <v>22453049.316904247</v>
      </c>
      <c r="E196" s="5">
        <f>90-DEGREES(ACOS((coord!$B$2*($T196*1000-coord!$B$2)+coord!$C$2*($U196*1000-coord!$C$2)+coord!$D$2*($V196*1000-coord!$D$2))/(SQRT(coord!$B$2^2+coord!$C$2^2+coord!$D$2^2)*SQRT(($T196*1000-coord!$B$2)^2+($U196*1000-coord!$C$2)^2+($V196*1000-coord!$D$2)^2))))</f>
        <v>31.682374495596562</v>
      </c>
      <c r="F196">
        <f>(coord!$C$2*($V196*1000-coord!$D$2)-coord!$D$2*($U196*1000-coord!$C$2))/(SQRT(coord!$B$2^2+coord!$C$2^2+coord!$D$2^2)*SQRT(($T196*1000-coord!$B$2)^2+($U196*1000-coord!$C$2)^2+($V196*1000-coord!$D$2)^2))</f>
        <v>0.59461458770854081</v>
      </c>
      <c r="G196">
        <f>(-coord!$B$2*($V196*1000-coord!$D$2)+coord!$D$2*($T196*1000-coord!$B$2))/(SQRT(coord!$B$2^2+coord!$C$2^2+coord!$D$2^2)*SQRT(($T196*1000-coord!$B$2)^2+($U196*1000-coord!$C$2)^2+($V196*1000-coord!$D$2)^2))</f>
        <v>-0.33369040302328151</v>
      </c>
      <c r="H196">
        <f>(coord!$B$2*($U196*1000-coord!$C$2)-coord!$C$2*($T196*1000-coord!$B$2))/(SQRT(coord!$B$2^2+coord!$C$2^2+coord!$D$2^2)*SQRT(($T196*1000-coord!$B$2)^2+($U196*1000-coord!$C$2)^2+($V196*1000-coord!$D$2)^2))</f>
        <v>-0.50915495777624487</v>
      </c>
      <c r="I196">
        <f t="shared" si="119"/>
        <v>-0.72281646210355355</v>
      </c>
      <c r="J196">
        <f t="shared" si="120"/>
        <v>-0.44909357598289179</v>
      </c>
      <c r="K196">
        <f t="shared" si="121"/>
        <v>-2.4261361809761461E-3</v>
      </c>
      <c r="L196">
        <f t="shared" si="122"/>
        <v>-58.146874927274268</v>
      </c>
      <c r="M196" s="5">
        <f>'sv10'!$AA$3+'sv10'!$Z$3*($B196)+'sv10'!$Y$3*($B196)^2+'sv10'!$X$3*($B196)^3+'sv10'!$W$3*($B196)^4+'sv10'!$V$3*($B196)^5+'sv10'!$U$3*($B196)^6+'sv10'!$T$3*($B196)^7+'sv10'!$S$3*($B196)^8</f>
        <v>8856.6698062783198</v>
      </c>
      <c r="N196" s="5">
        <f>'sv10'!$AA$4+'sv10'!$Z$4*($B196)+'sv10'!$Y$4*($B196)^2+'sv10'!$X$4*($B196)^3+'sv10'!$W$4*($B196)^4+'sv10'!$V$4*($B196)^5+'sv10'!$U$4*($B196)^6+'sv10'!$T$4*($B196)^7+'sv10'!$S$4*($B196)^8</f>
        <v>-14710.224174773175</v>
      </c>
      <c r="O196" s="5">
        <f>'sv10'!$AA$5+'sv10'!$Z$5*($B196)+'sv10'!$Y$5*($B196)^2+'sv10'!$X$5*($B196)^3+'sv10'!$W$5*($B196)^4+'sv10'!$V$5*($B196)^5+'sv10'!$U$5*($B196)^6+'sv10'!$T$5*($B196)^7+'sv10'!$S$5*($B196)^8</f>
        <v>19984.059939399656</v>
      </c>
      <c r="P196" s="5">
        <f>'sv10'!$AA$6+'sv10'!$Z$6*$B196+'sv10'!$Y$6*$B196^2+'sv10'!$X$6*$B196^3+'sv10'!$W$6*$B196^4+'sv10'!$V$6*$B196^5+'sv10'!$U$6*$B196^6+'sv10'!$T$6*$B196^7+'sv10'!$S$6*$B196^8</f>
        <v>-43.00195436706057</v>
      </c>
      <c r="R196">
        <f>SQRT(($M196*1000-coord!$B$2)^2+($N196*1000-coord!$C$2)^2+($O196*1000-coord!$D$2)^2)/coord!$B$6</f>
        <v>7.4852098207588008E-2</v>
      </c>
      <c r="T196" s="5">
        <f>'sv10'!$AA$3+'sv10'!$Z$3*($B196-$R196/3600)+'sv10'!$Y$3*($B196-$R196/3600)^2+'sv10'!$X$3*($B196-$R196/3600)^3+'sv10'!$W$3*($B196-$R196/3600)^4+'sv10'!$V$3*($B196-$R196/3600)^5+'sv10'!$U$3*($B196-$R196/3600)^6+'sv10'!$T$3*($B196-$R196/3600)^7+'sv10'!$S$3*($B196-$R196/3600)^8+N196*coord!$B$7*R196</f>
        <v>8856.4996116726707</v>
      </c>
      <c r="U196" s="5">
        <f>'sv10'!$AA$4+'sv10'!$Z$4*($B196-$R196/3600)+'sv10'!$Y$4*($B196-$R196/3600)^2+'sv10'!$X$4*($B196-$R196/3600)^3+'sv10'!$W$4*($B196-$R196/3600)^4+'sv10'!$V$4*($B196-$R196/3600)^5+'sv10'!$U$4*($B196-$R196/3600)^6+'sv10'!$T$4*($B196-$R196/3600)^7+'sv10'!$S$4*($B196-$R196/3600)^8-M196*coord!$B$7*R196</f>
        <v>-14710.444656266471</v>
      </c>
      <c r="V196" s="5">
        <f>'sv10'!$AA$5+'sv10'!$Z$5*($B196-$R196/3600)+'sv10'!$Y$5*($B196-$R196/3600)^2+'sv10'!$X$5*($B196-$R196/3600)^3+'sv10'!$W$5*($B196-$R196/3600)^4+'sv10'!$V$5*($B196-$R196/3600)^5+'sv10'!$U$5*($B196-$R196/3600)^6+'sv10'!$T$5*($B196-$R196/3600)^7+'sv10'!$S$5*($B196-$R196/3600)^8</f>
        <v>19983.971315090974</v>
      </c>
      <c r="W196">
        <f>coord!$B$6*P196/10^6</f>
        <v>-12891.661598504923</v>
      </c>
      <c r="X196">
        <f>SQRT(($T196*1000+coord!$B$7*$R196*$U196*1000-coord!$B$2)^2+($U196*1000-coord!$B$7*$R196*$T196*1000-coord!$C$2)^2+($V196*1000-coord!$D$2)^2)</f>
        <v>22440170.862542097</v>
      </c>
      <c r="Y196" s="3">
        <f>$D196-(X196-$W196)-coord!$E$2</f>
        <v>-13.207236353307962</v>
      </c>
      <c r="Z196" s="3"/>
      <c r="AB196">
        <f>-(T196*1000-coord!$B$2)/$X196</f>
        <v>-0.19909034865372519</v>
      </c>
      <c r="AC196">
        <f>-(U196*1000-coord!$C$2)/$X196</f>
        <v>0.69674223807114477</v>
      </c>
      <c r="AD196">
        <f>-(V196*1000-coord!$D$2)/$X196</f>
        <v>-0.68913838203454381</v>
      </c>
      <c r="AE196">
        <v>1</v>
      </c>
      <c r="AG196">
        <v>-0.69815175950199926</v>
      </c>
      <c r="AH196">
        <v>-0.75382422081578204</v>
      </c>
      <c r="AI196">
        <v>-0.68913838203454381</v>
      </c>
      <c r="AJ196">
        <v>-0.32406607659496489</v>
      </c>
      <c r="AK196">
        <v>6.8997207843758956E-2</v>
      </c>
      <c r="AL196">
        <v>-0.86056099482509618</v>
      </c>
      <c r="AM196">
        <v>-0.10852408711026519</v>
      </c>
      <c r="AO196">
        <v>1.1184949390619103</v>
      </c>
      <c r="AP196">
        <v>-0.36503177111747559</v>
      </c>
      <c r="AQ196">
        <v>2.3927006847648116</v>
      </c>
      <c r="AR196">
        <v>-3.3652683130388921</v>
      </c>
      <c r="AT196">
        <v>1.7229318158384364</v>
      </c>
      <c r="AU196">
        <v>0.56139814608810323</v>
      </c>
      <c r="AV196">
        <v>2.6529758744772129</v>
      </c>
      <c r="AW196">
        <v>2.1008546394142673</v>
      </c>
      <c r="AY196">
        <v>21.848869042114771</v>
      </c>
      <c r="BA196">
        <v>16.373050466514385</v>
      </c>
      <c r="BD196">
        <f>SQRT(($T196*1000+coord!$B$7*$R196*$U196*1000-coord!$B$2-BA$194)^2+($U196*1000-coord!$B$7*$R196*$T196*1000-coord!$C$2-BA$195)^2+($V196*1000-coord!$D$2-BA$196)^2)</f>
        <v>22440141.604759797</v>
      </c>
      <c r="BE196" s="3">
        <f t="shared" si="123"/>
        <v>3.8832798549023835</v>
      </c>
      <c r="BG196" s="1"/>
      <c r="BH196" s="1"/>
      <c r="BI196" s="1"/>
      <c r="BV196">
        <f>COS(RADIANS(BK194))</f>
        <v>0.70201366004057086</v>
      </c>
      <c r="BW196">
        <v>0</v>
      </c>
      <c r="BX196">
        <f>SIN(RADIANS(BK194))</f>
        <v>0.71216347920715639</v>
      </c>
      <c r="BZ196" t="s">
        <v>95</v>
      </c>
      <c r="CA196">
        <v>0.68693729056607744</v>
      </c>
      <c r="CB196">
        <v>0.1447077665963187</v>
      </c>
      <c r="CC196">
        <v>0.71216347920715628</v>
      </c>
      <c r="CD196">
        <v>0</v>
      </c>
      <c r="CE196" s="1">
        <v>18.12564010214901</v>
      </c>
      <c r="CK196">
        <v>3.096090974967276</v>
      </c>
      <c r="CL196">
        <v>0.70681660732548213</v>
      </c>
      <c r="CM196">
        <v>3.1541373143142097</v>
      </c>
      <c r="CN196">
        <v>2.9833266375950798</v>
      </c>
      <c r="CP196">
        <v>0.70201366004057086</v>
      </c>
      <c r="CQ196">
        <v>0</v>
      </c>
      <c r="CR196">
        <v>0.71216347920715628</v>
      </c>
      <c r="CS196">
        <v>0</v>
      </c>
      <c r="CU196" s="5">
        <v>-4.708341315334641E-2</v>
      </c>
      <c r="CV196" s="5">
        <v>5.343240043872155E-2</v>
      </c>
      <c r="CW196" s="5">
        <v>4.4753636019884873</v>
      </c>
      <c r="CX196" s="5">
        <v>2.9833266375950798</v>
      </c>
    </row>
    <row r="197" spans="1:111">
      <c r="A197">
        <v>52</v>
      </c>
      <c r="B197">
        <f t="shared" si="118"/>
        <v>0.68333333333333335</v>
      </c>
      <c r="C197">
        <v>4</v>
      </c>
      <c r="D197">
        <f>tetto!D197*coord!$B$13-tetto!G197*coord!$B$14</f>
        <v>21348750.470571488</v>
      </c>
      <c r="E197" s="5">
        <f>90-DEGREES(ACOS((coord!$B$2*($T197*1000-coord!$B$2)+coord!$C$2*($U197*1000-coord!$C$2)+coord!$D$2*($V197*1000-coord!$D$2))/(SQRT(coord!$B$2^2+coord!$C$2^2+coord!$D$2^2)*SQRT(($T197*1000-coord!$B$2)^2+($U197*1000-coord!$C$2)^2+($V197*1000-coord!$D$2)^2))))</f>
        <v>51.484595975729214</v>
      </c>
      <c r="F197">
        <f>(coord!$C$2*($V197*1000-coord!$D$2)-coord!$D$2*($U197*1000-coord!$C$2))/(SQRT(coord!$B$2^2+coord!$C$2^2+coord!$D$2^2)*SQRT(($T197*1000-coord!$B$2)^2+($U197*1000-coord!$C$2)^2+($V197*1000-coord!$D$2)^2))</f>
        <v>0.2998028552684498</v>
      </c>
      <c r="G197">
        <f>(-coord!$B$2*($V197*1000-coord!$D$2)+coord!$D$2*($T197*1000-coord!$B$2))/(SQRT(coord!$B$2^2+coord!$C$2^2+coord!$D$2^2)*SQRT(($T197*1000-coord!$B$2)^2+($U197*1000-coord!$C$2)^2+($V197*1000-coord!$D$2)^2))</f>
        <v>0.39874425400330565</v>
      </c>
      <c r="H197">
        <f>(coord!$B$2*($U197*1000-coord!$C$2)-coord!$C$2*($T197*1000-coord!$B$2))/(SQRT(coord!$B$2^2+coord!$C$2^2+coord!$D$2^2)*SQRT(($T197*1000-coord!$B$2)^2+($U197*1000-coord!$C$2)^2+($V197*1000-coord!$D$2)^2))</f>
        <v>-0.37270325630009188</v>
      </c>
      <c r="I197">
        <f t="shared" si="119"/>
        <v>-0.52910184069613031</v>
      </c>
      <c r="J197">
        <f t="shared" si="120"/>
        <v>0.32838168214917168</v>
      </c>
      <c r="K197">
        <f t="shared" si="121"/>
        <v>-1.7783096768745899E-3</v>
      </c>
      <c r="L197">
        <f t="shared" si="122"/>
        <v>238.17461385165433</v>
      </c>
      <c r="M197" s="5">
        <f>'sv04'!$AA$3+'sv04'!$Z$3*($B197)+'sv04'!$Y$3*($B197)^2+'sv04'!$X$3*($B197)^3+'sv04'!$W$3*($B197)^4+'sv04'!$V$3*($B197)^5+'sv04'!$U$3*($B197)^6+'sv04'!$T$3*($B197)^7+'sv04'!$S$3*($B197)^8</f>
        <v>23123.155250855249</v>
      </c>
      <c r="N197" s="5">
        <f>'sv04'!$AA$4+'sv04'!$Z$4*($B197)+'sv04'!$Y$4*($B197)^2+'sv04'!$X$4*($B197)^3+'sv04'!$W$4*($B197)^4+'sv04'!$V$4*($B197)^5+'sv04'!$U$4*($B197)^6+'sv04'!$T$4*($B197)^7+'sv04'!$S$4*($B197)^8</f>
        <v>-6686.4236981327931</v>
      </c>
      <c r="O197" s="5">
        <f>'sv04'!$AA$5+'sv04'!$Z$5*($B197)+'sv04'!$Y$5*($B197)^2+'sv04'!$X$5*($B197)^3+'sv04'!$W$5*($B197)^4+'sv04'!$V$5*($B197)^5+'sv04'!$U$5*($B197)^6+'sv04'!$T$5*($B197)^7+'sv04'!$S$5*($B197)^8</f>
        <v>11446.224308462219</v>
      </c>
      <c r="P197" s="5">
        <f>'sv04'!$AA$6+'sv04'!$Z$6*$B197+'sv04'!$Y$6*$B197^2+'sv04'!$X$6*$B197^3+'sv04'!$W$6*$B197^4+'sv04'!$V$6*$B197^5+'sv04'!$U$6*$B197^6+'sv04'!$T$6*$B197^7+'sv04'!$S$6*$B197^8</f>
        <v>86.607693348016909</v>
      </c>
      <c r="R197">
        <f>SQRT(($M197*1000-coord!$B$2)^2+($N197*1000-coord!$C$2)^2+($O197*1000-coord!$D$2)^2)/coord!$B$6</f>
        <v>7.1298391189829419E-2</v>
      </c>
      <c r="T197" s="5">
        <f>'sv04'!$AA$3+'sv04'!$Z$3*($B197-$R197/3600)+'sv04'!$Y$3*($B197-$R197/3600)^2+'sv04'!$X$3*($B197-$R197/3600)^3+'sv04'!$W$3*($B197-$R197/3600)^4+'sv04'!$V$3*($B197-$R197/3600)^5+'sv04'!$U$3*($B197-$R197/3600)^6+'sv04'!$T$3*($B197-$R197/3600)^7+'sv04'!$S$3*($B197-$R197/3600)^8+N197*coord!$B$7*R197</f>
        <v>23123.017340117804</v>
      </c>
      <c r="U197" s="5">
        <f>'sv04'!$AA$4+'sv04'!$Z$4*($B197-$R197/3600)+'sv04'!$Y$4*($B197-$R197/3600)^2+'sv04'!$X$4*($B197-$R197/3600)^3+'sv04'!$W$4*($B197-$R197/3600)^4+'sv04'!$V$4*($B197-$R197/3600)^5+'sv04'!$U$4*($B197-$R197/3600)^6+'sv04'!$T$4*($B197-$R197/3600)^7+'sv04'!$S$4*($B197-$R197/3600)^8-M197*coord!$B$7*R197</f>
        <v>-6686.5711410062595</v>
      </c>
      <c r="V197" s="5">
        <f>'sv04'!$AA$5+'sv04'!$Z$5*($B197-$R197/3600)+'sv04'!$Y$5*($B197-$R197/3600)^2+'sv04'!$X$5*($B197-$R197/3600)^3+'sv04'!$W$5*($B197-$R197/3600)^4+'sv04'!$V$5*($B197-$R197/3600)^5+'sv04'!$U$5*($B197-$R197/3600)^6+'sv04'!$T$5*($B197-$R197/3600)^7+'sv04'!$S$5*($B197-$R197/3600)^8</f>
        <v>11446.411394092156</v>
      </c>
      <c r="W197">
        <f>coord!$B$6*P197/10^6</f>
        <v>25964.333270512238</v>
      </c>
      <c r="X197">
        <f>SQRT(($T197*1000+coord!$B$7*$R197*$U197*1000-coord!$B$2)^2+($U197*1000-coord!$B$7*$R197*$T197*1000-coord!$C$2)^2+($V197*1000-coord!$D$2)^2)</f>
        <v>21374724.539432954</v>
      </c>
      <c r="Y197" s="3">
        <f>$D197-(X197-$W197)-coord!$E$2</f>
        <v>-9.7355909533798695</v>
      </c>
      <c r="Z197" s="3"/>
      <c r="AB197">
        <f>-(T197*1000-coord!$B$2)/$X197</f>
        <v>-0.87646225029736913</v>
      </c>
      <c r="AC197">
        <f>-(U197*1000-coord!$C$2)/$X197</f>
        <v>0.35608137733728074</v>
      </c>
      <c r="AD197">
        <f>-(V197*1000-coord!$D$2)/$X197</f>
        <v>-0.32406607659496489</v>
      </c>
      <c r="AE197">
        <v>1</v>
      </c>
      <c r="AG197">
        <v>1</v>
      </c>
      <c r="AH197">
        <v>1</v>
      </c>
      <c r="AI197">
        <v>1</v>
      </c>
      <c r="AJ197">
        <v>1</v>
      </c>
      <c r="AK197">
        <v>1</v>
      </c>
      <c r="AL197">
        <v>1</v>
      </c>
      <c r="AM197">
        <v>1</v>
      </c>
      <c r="AO197">
        <v>-3.2303239850977223</v>
      </c>
      <c r="AP197">
        <v>-0.37830345959294071</v>
      </c>
      <c r="AQ197">
        <v>-3.3652683130388921</v>
      </c>
      <c r="AR197">
        <v>7</v>
      </c>
      <c r="AT197">
        <v>2.0694425502599443</v>
      </c>
      <c r="AU197">
        <v>0.45330966931852851</v>
      </c>
      <c r="AV197">
        <v>2.1008546394142673</v>
      </c>
      <c r="AW197">
        <v>2.1323425814826011</v>
      </c>
      <c r="AY197">
        <v>-6.9187517389655113</v>
      </c>
      <c r="BA197">
        <v>12.167266090861204</v>
      </c>
      <c r="BD197">
        <f>SQRT(($T197*1000+coord!$B$7*$R197*$U197*1000-coord!$B$2-BA$194)^2+($U197*1000-coord!$B$7*$R197*$T197*1000-coord!$C$2-BA$195)^2+($V197*1000-coord!$D$2-BA$196)^2)</f>
        <v>21374699.198588625</v>
      </c>
      <c r="BE197" s="3">
        <f t="shared" si="123"/>
        <v>3.4379872852054802</v>
      </c>
      <c r="BG197" s="1"/>
      <c r="BH197" s="1"/>
      <c r="BI197" s="1"/>
      <c r="CA197">
        <v>0</v>
      </c>
      <c r="CB197">
        <v>0</v>
      </c>
      <c r="CC197">
        <v>0</v>
      </c>
      <c r="CD197">
        <v>1</v>
      </c>
      <c r="CK197">
        <v>2.0694425502599443</v>
      </c>
      <c r="CL197">
        <v>0.45330966931852851</v>
      </c>
      <c r="CM197">
        <v>2.1008546394142673</v>
      </c>
      <c r="CN197">
        <v>2.1323425814826011</v>
      </c>
      <c r="CP197">
        <v>0</v>
      </c>
      <c r="CQ197">
        <v>0</v>
      </c>
      <c r="CR197">
        <v>0</v>
      </c>
      <c r="CS197">
        <v>1</v>
      </c>
      <c r="CU197" s="5">
        <v>-3.3847829151158138E-2</v>
      </c>
      <c r="CV197" s="5">
        <v>1.6995262572067849E-2</v>
      </c>
      <c r="CW197" s="5">
        <v>2.9833266375950798</v>
      </c>
      <c r="CX197" s="5">
        <v>2.1323425814826011</v>
      </c>
    </row>
    <row r="198" spans="1:111">
      <c r="A198">
        <v>52</v>
      </c>
      <c r="B198">
        <f t="shared" si="118"/>
        <v>0.68333333333333335</v>
      </c>
      <c r="C198">
        <v>20</v>
      </c>
      <c r="D198">
        <f>tetto!D198*coord!$B$13-tetto!G198*coord!$B$14</f>
        <v>23546555.300279088</v>
      </c>
      <c r="E198" s="5">
        <f>90-DEGREES(ACOS((coord!$B$2*($T198*1000-coord!$B$2)+coord!$C$2*($U198*1000-coord!$C$2)+coord!$D$2*($V198*1000-coord!$D$2))/(SQRT(coord!$B$2^2+coord!$C$2^2+coord!$D$2^2)*SQRT(($T198*1000-coord!$B$2)^2+($U198*1000-coord!$C$2)^2+($V198*1000-coord!$D$2)^2))))</f>
        <v>21.567360306546774</v>
      </c>
      <c r="F198">
        <f>(coord!$C$2*($V198*1000-coord!$D$2)-coord!$D$2*($U198*1000-coord!$C$2))/(SQRT(coord!$B$2^2+coord!$C$2^2+coord!$D$2^2)*SQRT(($T198*1000-coord!$B$2)^2+($U198*1000-coord!$C$2)^2+($V198*1000-coord!$D$2)^2))</f>
        <v>-0.65457948893361417</v>
      </c>
      <c r="G198">
        <f>(-coord!$B$2*($V198*1000-coord!$D$2)+coord!$D$2*($T198*1000-coord!$B$2))/(SQRT(coord!$B$2^2+coord!$C$2^2+coord!$D$2^2)*SQRT(($T198*1000-coord!$B$2)^2+($U198*1000-coord!$C$2)^2+($V198*1000-coord!$D$2)^2))</f>
        <v>0.34074878053482305</v>
      </c>
      <c r="H198">
        <f>(coord!$B$2*($U198*1000-coord!$C$2)-coord!$C$2*($T198*1000-coord!$B$2))/(SQRT(coord!$B$2^2+coord!$C$2^2+coord!$D$2^2)*SQRT(($T198*1000-coord!$B$2)^2+($U198*1000-coord!$C$2)^2+($V198*1000-coord!$D$2)^2))</f>
        <v>0.56594169692671792</v>
      </c>
      <c r="I198">
        <f t="shared" si="119"/>
        <v>0.80343304427032813</v>
      </c>
      <c r="J198">
        <f t="shared" si="120"/>
        <v>0.46836109310084018</v>
      </c>
      <c r="K198">
        <f t="shared" si="121"/>
        <v>2.6968375466147054E-3</v>
      </c>
      <c r="L198">
        <f t="shared" si="122"/>
        <v>120.24003659462164</v>
      </c>
      <c r="M198" s="5">
        <f>'sv20'!$AA$3+'sv20'!$Z$3*($B198)+'sv20'!$Y$3*($B198)^2+'sv20'!$X$3*($B198)^3+'sv20'!$W$3*($B198)^4+'sv20'!$V$3*($B198)^5+'sv20'!$U$3*($B198)^6+'sv20'!$T$3*($B198)^7+'sv20'!$S$3*($B198)^8</f>
        <v>14121.798884005339</v>
      </c>
      <c r="N198" s="5">
        <f>'sv20'!$AA$4+'sv20'!$Z$4*($B198)+'sv20'!$Y$4*($B198)^2+'sv20'!$X$4*($B198)^3+'sv20'!$W$4*($B198)^4+'sv20'!$V$4*($B198)^5+'sv20'!$U$4*($B198)^6+'sv20'!$T$4*($B198)^7+'sv20'!$S$4*($B198)^8</f>
        <v>22322.179527543285</v>
      </c>
      <c r="O198" s="5">
        <f>'sv20'!$AA$5+'sv20'!$Z$5*($B198)+'sv20'!$Y$5*($B198)^2+'sv20'!$X$5*($B198)^3+'sv20'!$W$5*($B198)^4+'sv20'!$V$5*($B198)^5+'sv20'!$U$5*($B198)^6+'sv20'!$T$5*($B198)^7+'sv20'!$S$5*($B198)^8</f>
        <v>2893.5461714716471</v>
      </c>
      <c r="P198" s="5">
        <f>'sv20'!$AA$6+'sv20'!$Z$6*$B198+'sv20'!$Y$6*$B198^2+'sv20'!$X$6*$B198^3+'sv20'!$W$6*$B198^4+'sv20'!$V$6*$B198^5+'sv20'!$U$6*$B198^6+'sv20'!$T$6*$B198^7+'sv20'!$S$6*$B198^8</f>
        <v>55.817516102876873</v>
      </c>
      <c r="R198">
        <f>SQRT(($M198*1000-coord!$B$2)^2+($N198*1000-coord!$C$2)^2+($O198*1000-coord!$D$2)^2)/coord!$B$6</f>
        <v>7.8598873787369503E-2</v>
      </c>
      <c r="T198" s="5">
        <f>'sv20'!$AA$3+'sv20'!$Z$3*($B198-$R198/3600)+'sv20'!$Y$3*($B198-$R198/3600)^2+'sv20'!$X$3*($B198-$R198/3600)^3+'sv20'!$W$3*($B198-$R198/3600)^4+'sv20'!$V$3*($B198-$R198/3600)^5+'sv20'!$U$3*($B198-$R198/3600)^6+'sv20'!$T$3*($B198-$R198/3600)^7+'sv20'!$S$3*($B198-$R198/3600)^8+N198*coord!$B$7*R198</f>
        <v>14121.937062464296</v>
      </c>
      <c r="U198" s="5">
        <f>'sv20'!$AA$4+'sv20'!$Z$4*($B198-$R198/3600)+'sv20'!$Y$4*($B198-$R198/3600)^2+'sv20'!$X$4*($B198-$R198/3600)^3+'sv20'!$W$4*($B198-$R198/3600)^4+'sv20'!$V$4*($B198-$R198/3600)^5+'sv20'!$U$4*($B198-$R198/3600)^6+'sv20'!$T$4*($B198-$R198/3600)^7+'sv20'!$S$4*($B198-$R198/3600)^8-M198*coord!$B$7*R198</f>
        <v>22322.059079347127</v>
      </c>
      <c r="V198" s="5">
        <f>'sv20'!$AA$5+'sv20'!$Z$5*($B198-$R198/3600)+'sv20'!$Y$5*($B198-$R198/3600)^2+'sv20'!$X$5*($B198-$R198/3600)^3+'sv20'!$W$5*($B198-$R198/3600)^4+'sv20'!$V$5*($B198-$R198/3600)^5+'sv20'!$U$5*($B198-$R198/3600)^6+'sv20'!$T$5*($B198-$R198/3600)^7+'sv20'!$S$5*($B198-$R198/3600)^8</f>
        <v>2893.7891370792549</v>
      </c>
      <c r="W198">
        <f>coord!$B$6*P198/10^6</f>
        <v>16733.670351936038</v>
      </c>
      <c r="X198">
        <f>SQRT(($T198*1000+coord!$B$7*$R198*$U198*1000-coord!$B$2)^2+($U198*1000-coord!$B$7*$R198*$T198*1000-coord!$C$2)^2+($V198*1000-coord!$D$2)^2)</f>
        <v>23563259.848170862</v>
      </c>
      <c r="Y198" s="3">
        <f>$D198-(X198-$W198)-coord!$E$2</f>
        <v>29.122460164129734</v>
      </c>
      <c r="Z198" s="3"/>
      <c r="AB198">
        <f>-(T198*1000-coord!$B$2)/$X198</f>
        <v>-0.41306079695165104</v>
      </c>
      <c r="AC198">
        <f>-(U198*1000-coord!$C$2)/$X198</f>
        <v>-0.90808695418296059</v>
      </c>
      <c r="AD198">
        <f>-(V198*1000-coord!$D$2)/$X198</f>
        <v>6.8997207843758956E-2</v>
      </c>
      <c r="AE198">
        <v>1</v>
      </c>
      <c r="BD198">
        <f>SQRT(($T198*1000+coord!$B$7*$R198*$U198*1000-coord!$B$2-BA$194)^2+($U198*1000-coord!$B$7*$R198*$T198*1000-coord!$C$2-BA$195)^2+($V198*1000-coord!$D$2-BA$196)^2)</f>
        <v>23563274.986582574</v>
      </c>
      <c r="BE198" s="3">
        <f t="shared" si="123"/>
        <v>1.8167823613671032</v>
      </c>
      <c r="BG198" s="1"/>
      <c r="BH198" s="1"/>
      <c r="BI198" s="1"/>
    </row>
    <row r="199" spans="1:111">
      <c r="A199">
        <v>52</v>
      </c>
      <c r="B199">
        <f t="shared" si="118"/>
        <v>0.68333333333333335</v>
      </c>
      <c r="C199">
        <v>13</v>
      </c>
      <c r="D199">
        <f>tetto!D199*coord!$B$13-tetto!G199*coord!$B$14</f>
        <v>20273349.788740236</v>
      </c>
      <c r="E199" s="5">
        <f>90-DEGREES(ACOS((coord!$B$2*($T199*1000-coord!$B$2)+coord!$C$2*($U199*1000-coord!$C$2)+coord!$D$2*($V199*1000-coord!$D$2))/(SQRT(coord!$B$2^2+coord!$C$2^2+coord!$D$2^2)*SQRT(($T199*1000-coord!$B$2)^2+($U199*1000-coord!$C$2)^2+($V199*1000-coord!$D$2)^2))))</f>
        <v>70.250049679623629</v>
      </c>
      <c r="F199">
        <f>(coord!$C$2*($V199*1000-coord!$D$2)-coord!$D$2*($U199*1000-coord!$C$2))/(SQRT(coord!$B$2^2+coord!$C$2^2+coord!$D$2^2)*SQRT(($T199*1000-coord!$B$2)^2+($U199*1000-coord!$C$2)^2+($V199*1000-coord!$D$2)^2))</f>
        <v>-8.1693837374253925E-2</v>
      </c>
      <c r="G199">
        <f>(-coord!$B$2*($V199*1000-coord!$D$2)+coord!$D$2*($T199*1000-coord!$B$2))/(SQRT(coord!$B$2^2+coord!$C$2^2+coord!$D$2^2)*SQRT(($T199*1000-coord!$B$2)^2+($U199*1000-coord!$C$2)^2+($V199*1000-coord!$D$2)^2))</f>
        <v>-0.29650757510553644</v>
      </c>
      <c r="H199">
        <f>(coord!$B$2*($U199*1000-coord!$C$2)-coord!$C$2*($T199*1000-coord!$B$2))/(SQRT(coord!$B$2^2+coord!$C$2^2+coord!$D$2^2)*SQRT(($T199*1000-coord!$B$2)^2+($U199*1000-coord!$C$2)^2+($V199*1000-coord!$D$2)^2))</f>
        <v>0.13998761238256388</v>
      </c>
      <c r="I199">
        <f t="shared" si="119"/>
        <v>0.1987304851899655</v>
      </c>
      <c r="J199">
        <f t="shared" si="120"/>
        <v>-0.27330002593795077</v>
      </c>
      <c r="K199">
        <f t="shared" si="121"/>
        <v>6.6847508828347946E-4</v>
      </c>
      <c r="L199">
        <f t="shared" si="122"/>
        <v>36.022824890977269</v>
      </c>
      <c r="M199" s="5">
        <f>'sv13'!$AA$3+'sv13'!$Z$3*($B199)+'sv13'!$Y$3*($B199)^2+'sv13'!$X$3*($B199)^3+'sv13'!$W$3*($B199)^4+'sv13'!$V$3*($B199)^5+'sv13'!$U$3*($B199)^6+'sv13'!$T$3*($B199)^7+'sv13'!$S$3*($B199)^8</f>
        <v>12899.880463461439</v>
      </c>
      <c r="N199" s="5">
        <f>'sv13'!$AA$4+'sv13'!$Z$4*($B199)+'sv13'!$Y$4*($B199)^2+'sv13'!$X$4*($B199)^3+'sv13'!$W$4*($B199)^4+'sv13'!$V$4*($B199)^5+'sv13'!$U$4*($B199)^6+'sv13'!$T$4*($B199)^7+'sv13'!$S$4*($B199)^8</f>
        <v>6853.6918375125078</v>
      </c>
      <c r="O199" s="5">
        <f>'sv13'!$AA$5+'sv13'!$Z$5*($B199)+'sv13'!$Y$5*($B199)^2+'sv13'!$X$5*($B199)^3+'sv13'!$W$5*($B199)^4+'sv13'!$V$5*($B199)^5+'sv13'!$U$5*($B199)^6+'sv13'!$T$5*($B199)^7+'sv13'!$S$5*($B199)^8</f>
        <v>22044.548094532773</v>
      </c>
      <c r="P199" s="5">
        <f>'sv13'!$AA$6+'sv13'!$Z$6*$B199+'sv13'!$Y$6*$B199^2+'sv13'!$X$6*$B199^3+'sv13'!$W$6*$B199^4+'sv13'!$V$6*$B199^5+'sv13'!$U$6*$B199^6+'sv13'!$T$6*$B199^7+'sv13'!$S$6*$B199^8</f>
        <v>304.2190674381381</v>
      </c>
      <c r="R199">
        <f>SQRT(($M199*1000-coord!$B$2)^2+($N199*1000-coord!$C$2)^2+($O199*1000-coord!$D$2)^2)/coord!$B$6</f>
        <v>6.7928905837900483E-2</v>
      </c>
      <c r="T199" s="5">
        <f>'sv13'!$AA$3+'sv13'!$Z$3*($B199-$R199/3600)+'sv13'!$Y$3*($B199-$R199/3600)^2+'sv13'!$X$3*($B199-$R199/3600)^3+'sv13'!$W$3*($B199-$R199/3600)^4+'sv13'!$V$3*($B199-$R199/3600)^5+'sv13'!$U$3*($B199-$R199/3600)^6+'sv13'!$T$3*($B199-$R199/3600)^7+'sv13'!$S$3*($B199-$R199/3600)^8+N199*coord!$B$7*R199</f>
        <v>12900.031751004923</v>
      </c>
      <c r="U199" s="5">
        <f>'sv13'!$AA$4+'sv13'!$Z$4*($B199-$R199/3600)+'sv13'!$Y$4*($B199-$R199/3600)^2+'sv13'!$X$4*($B199-$R199/3600)^3+'sv13'!$W$4*($B199-$R199/3600)^4+'sv13'!$V$4*($B199-$R199/3600)^5+'sv13'!$U$4*($B199-$R199/3600)^6+'sv13'!$T$4*($B199-$R199/3600)^7+'sv13'!$S$4*($B199-$R199/3600)^8-M199*coord!$B$7*R199</f>
        <v>6853.476164608509</v>
      </c>
      <c r="V199" s="5">
        <f>'sv13'!$AA$5+'sv13'!$Z$5*($B199-$R199/3600)+'sv13'!$Y$5*($B199-$R199/3600)^2+'sv13'!$X$5*($B199-$R199/3600)^3+'sv13'!$W$5*($B199-$R199/3600)^4+'sv13'!$V$5*($B199-$R199/3600)^5+'sv13'!$U$5*($B199-$R199/3600)^6+'sv13'!$T$5*($B199-$R199/3600)^7+'sv13'!$S$5*($B199-$R199/3600)^8</f>
        <v>22044.526955481819</v>
      </c>
      <c r="W199">
        <f>coord!$B$6*P199/10^6</f>
        <v>91202.581997747184</v>
      </c>
      <c r="X199">
        <f>SQRT(($T199*1000+coord!$B$7*$R199*$U199*1000-coord!$B$2)^2+($U199*1000-coord!$B$7*$R199*$T199*1000-coord!$C$2)^2+($V199*1000-coord!$D$2)^2)</f>
        <v>20364551.4804487</v>
      </c>
      <c r="Y199" s="3">
        <f>$D199-(X199-$W199)-coord!$E$2</f>
        <v>0.89028928428888321</v>
      </c>
      <c r="Z199" s="3"/>
      <c r="AB199">
        <f>-(T199*1000-coord!$B$2)/$X199</f>
        <v>-0.4179396530474136</v>
      </c>
      <c r="AC199">
        <f>-(U199*1000-coord!$C$2)/$X199</f>
        <v>-0.29113854813353712</v>
      </c>
      <c r="AD199">
        <f>-(V199*1000-coord!$D$2)/$X199</f>
        <v>-0.86056099482509618</v>
      </c>
      <c r="AE199">
        <v>1</v>
      </c>
      <c r="BD199">
        <f>SQRT(($T199*1000+coord!$B$7*$R199*$U199*1000-coord!$B$2-BA$194)^2+($U199*1000-coord!$B$7*$R199*$T199*1000-coord!$C$2-BA$195)^2+($V199*1000-coord!$D$2-BA$196)^2)</f>
        <v>20364537.883582227</v>
      </c>
      <c r="BE199" s="3">
        <f t="shared" si="123"/>
        <v>2.3198896669832436</v>
      </c>
      <c r="BG199" s="1"/>
      <c r="BH199" s="1"/>
      <c r="BI199" s="1"/>
    </row>
    <row r="200" spans="1:111">
      <c r="A200">
        <v>52</v>
      </c>
      <c r="B200">
        <f t="shared" si="118"/>
        <v>0.68333333333333335</v>
      </c>
      <c r="C200">
        <v>7</v>
      </c>
      <c r="D200">
        <f>tetto!D200*coord!$B$13-tetto!G200*coord!$B$14</f>
        <v>21400330.857167017</v>
      </c>
      <c r="E200" s="5">
        <f>90-DEGREES(ACOS((coord!$B$2*($T200*1000-coord!$B$2)+coord!$C$2*($U200*1000-coord!$C$2)+coord!$D$2*($V200*1000-coord!$D$2))/(SQRT(coord!$B$2^2+coord!$C$2^2+coord!$D$2^2)*SQRT(($T200*1000-coord!$B$2)^2+($U200*1000-coord!$C$2)^2+($V200*1000-coord!$D$2)^2))))</f>
        <v>50.895859071570214</v>
      </c>
      <c r="F200">
        <f>(coord!$C$2*($V200*1000-coord!$D$2)-coord!$D$2*($U200*1000-coord!$C$2))/(SQRT(coord!$B$2^2+coord!$C$2^2+coord!$D$2^2)*SQRT(($T200*1000-coord!$B$2)^2+($U200*1000-coord!$C$2)^2+($V200*1000-coord!$D$2)^2))</f>
        <v>-0.17101598447871272</v>
      </c>
      <c r="G200">
        <f>(-coord!$B$2*($V200*1000-coord!$D$2)+coord!$D$2*($T200*1000-coord!$B$2))/(SQRT(coord!$B$2^2+coord!$C$2^2+coord!$D$2^2)*SQRT(($T200*1000-coord!$B$2)^2+($U200*1000-coord!$C$2)^2+($V200*1000-coord!$D$2)^2))</f>
        <v>0.60563811658798139</v>
      </c>
      <c r="H200">
        <f>(coord!$B$2*($U200*1000-coord!$C$2)-coord!$C$2*($T200*1000-coord!$B$2))/(SQRT(coord!$B$2^2+coord!$C$2^2+coord!$D$2^2)*SQRT(($T200*1000-coord!$B$2)^2+($U200*1000-coord!$C$2)^2+($V200*1000-coord!$D$2)^2))</f>
        <v>4.2174938731608234E-2</v>
      </c>
      <c r="I200">
        <f t="shared" si="119"/>
        <v>5.9875367186272871E-2</v>
      </c>
      <c r="J200">
        <f t="shared" si="120"/>
        <v>0.62788344582212696</v>
      </c>
      <c r="K200">
        <f t="shared" si="121"/>
        <v>1.9883489802695331E-4</v>
      </c>
      <c r="L200">
        <f t="shared" si="122"/>
        <v>174.55270986940405</v>
      </c>
      <c r="M200" s="5">
        <f>'sv07'!$AA$3+'sv07'!$Z$3*($B200)+'sv07'!$Y$3*($B200)^2+'sv07'!$X$3*($B200)^3+'sv07'!$W$3*($B200)^4+'sv07'!$V$3*($B200)^5+'sv07'!$U$3*($B200)^6+'sv07'!$T$3*($B200)^7+'sv07'!$S$3*($B200)^8</f>
        <v>24903.718648350823</v>
      </c>
      <c r="N200" s="5">
        <f>'sv07'!$AA$4+'sv07'!$Z$4*($B200)+'sv07'!$Y$4*($B200)^2+'sv07'!$X$4*($B200)^3+'sv07'!$W$4*($B200)^4+'sv07'!$V$4*($B200)^5+'sv07'!$U$4*($B200)^6+'sv07'!$T$4*($B200)^7+'sv07'!$S$4*($B200)^8</f>
        <v>6555.8523511592866</v>
      </c>
      <c r="O200" s="5">
        <f>'sv07'!$AA$5+'sv07'!$Z$5*($B200)+'sv07'!$Y$5*($B200)^2+'sv07'!$X$5*($B200)^3+'sv07'!$W$5*($B200)^4+'sv07'!$V$5*($B200)^5+'sv07'!$U$5*($B200)^6+'sv07'!$T$5*($B200)^7+'sv07'!$S$5*($B200)^8</f>
        <v>6842.2353056042821</v>
      </c>
      <c r="P200" s="5">
        <f>'sv07'!$AA$6+'sv07'!$Z$6*$B200+'sv07'!$Y$6*$B200^2+'sv07'!$X$6*$B200^3+'sv07'!$W$6*$B200^4+'sv07'!$V$6*$B200^5+'sv07'!$U$6*$B200^6+'sv07'!$T$6*$B200^7+'sv07'!$S$6*$B200^8</f>
        <v>-0.63814458435990817</v>
      </c>
      <c r="R200">
        <f>SQRT(($M200*1000-coord!$B$2)^2+($N200*1000-coord!$C$2)^2+($O200*1000-coord!$D$2)^2)/coord!$B$6</f>
        <v>7.1383083258351535E-2</v>
      </c>
      <c r="T200" s="5">
        <f>'sv07'!$AA$3+'sv07'!$Z$3*($B200-$R200/3600)+'sv07'!$Y$3*($B200-$R200/3600)^2+'sv07'!$X$3*($B200-$R200/3600)^3+'sv07'!$W$3*($B200-$R200/3600)^4+'sv07'!$V$3*($B200-$R200/3600)^5+'sv07'!$U$3*($B200-$R200/3600)^6+'sv07'!$T$3*($B200-$R200/3600)^7+'sv07'!$S$3*($B200-$R200/3600)^8+N200*coord!$B$7*R200</f>
        <v>24903.815555985489</v>
      </c>
      <c r="U200" s="5">
        <f>'sv07'!$AA$4+'sv07'!$Z$4*($B200-$R200/3600)+'sv07'!$Y$4*($B200-$R200/3600)^2+'sv07'!$X$4*($B200-$R200/3600)^3+'sv07'!$W$4*($B200-$R200/3600)^4+'sv07'!$V$4*($B200-$R200/3600)^5+'sv07'!$U$4*($B200-$R200/3600)^6+'sv07'!$T$4*($B200-$R200/3600)^7+'sv07'!$S$4*($B200-$R200/3600)^8-M200*coord!$B$7*R200</f>
        <v>6555.7115580079153</v>
      </c>
      <c r="V200" s="5">
        <f>'sv07'!$AA$5+'sv07'!$Z$5*($B200-$R200/3600)+'sv07'!$Y$5*($B200-$R200/3600)^2+'sv07'!$X$5*($B200-$R200/3600)^3+'sv07'!$W$5*($B200-$R200/3600)^4+'sv07'!$V$5*($B200-$R200/3600)^5+'sv07'!$U$5*($B200-$R200/3600)^6+'sv07'!$T$5*($B200-$R200/3600)^7+'sv07'!$S$5*($B200-$R200/3600)^8</f>
        <v>6842.0190372653587</v>
      </c>
      <c r="W200">
        <f>coord!$B$6*P200/10^6</f>
        <v>-191.31093350464522</v>
      </c>
      <c r="X200">
        <f>SQRT(($T200*1000+coord!$B$7*$R200*$U200*1000-coord!$B$2)^2+($U200*1000-coord!$B$7*$R200*$T200*1000-coord!$C$2)^2+($V200*1000-coord!$D$2)^2)</f>
        <v>21400140.971521541</v>
      </c>
      <c r="Y200" s="3">
        <f>$D200-(X200-$W200)-coord!$E$2</f>
        <v>-1.4252880290150642</v>
      </c>
      <c r="Z200" s="3" t="s">
        <v>127</v>
      </c>
      <c r="AA200" s="1" t="s">
        <v>128</v>
      </c>
      <c r="AB200">
        <f>-(T200*1000-coord!$B$2)/$X200</f>
        <v>-0.95863561891886373</v>
      </c>
      <c r="AC200">
        <f>-(U200*1000-coord!$C$2)/$X200</f>
        <v>-0.26313571262458574</v>
      </c>
      <c r="AD200">
        <f>-(V200*1000-coord!$D$2)/$X200</f>
        <v>-0.10852408711026519</v>
      </c>
      <c r="AE200">
        <v>1</v>
      </c>
      <c r="BD200">
        <f>SQRT(($T200*1000+coord!$B$7*$R200*$U200*1000-coord!$B$2-BA$194)^2+($U200*1000-coord!$B$7*$R200*$T200*1000-coord!$C$2-BA$195)^2+($V200*1000-coord!$D$2-BA$196)^2)</f>
        <v>21400131.505772989</v>
      </c>
      <c r="BE200" s="3">
        <f t="shared" si="123"/>
        <v>-4.126805567643288</v>
      </c>
      <c r="BF200" s="3" t="s">
        <v>127</v>
      </c>
      <c r="BG200" s="1" t="s">
        <v>128</v>
      </c>
      <c r="BH200" s="1"/>
      <c r="BI200" s="1"/>
    </row>
    <row r="201" spans="1:111">
      <c r="Z201" s="3">
        <f>AVERAGE($Y194:$Y200)</f>
        <v>-0.98839310556650162</v>
      </c>
      <c r="AA201" s="1">
        <f>SQRT(DEVSQ($Y194:$Y200)/6)</f>
        <v>17.059348491354708</v>
      </c>
      <c r="BE201" s="3"/>
      <c r="BF201" s="3">
        <f>AVERAGE($BE194:$BE200)</f>
        <v>7.1349093076378267E-5</v>
      </c>
      <c r="BG201" s="1">
        <f>SQRT(DEVSQ($BE194:$BE200)/6)</f>
        <v>3.8100592305517225</v>
      </c>
      <c r="BH201" s="1"/>
      <c r="BI201" s="1"/>
    </row>
  </sheetData>
  <pageMargins left="0.7" right="0.7" top="0.75" bottom="0.75" header="0.3" footer="0.3"/>
  <pageSetup paperSize="9" orientation="portrait" r:id="rId1"/>
  <drawing r:id="rId2"/>
  <legacyDrawing r:id="rId3"/>
</worksheet>
</file>

<file path=xl/worksheets/sheet16.xml><?xml version="1.0" encoding="utf-8"?>
<worksheet xmlns="http://schemas.openxmlformats.org/spreadsheetml/2006/main" xmlns:r="http://schemas.openxmlformats.org/officeDocument/2006/relationships">
  <sheetPr codeName="Foglio11"/>
  <dimension ref="A2:I18"/>
  <sheetViews>
    <sheetView workbookViewId="0">
      <selection activeCell="D19" sqref="D19"/>
    </sheetView>
  </sheetViews>
  <sheetFormatPr defaultRowHeight="15"/>
  <cols>
    <col min="2" max="2" width="12.7109375" bestFit="1" customWidth="1"/>
    <col min="3" max="3" width="11.5703125" bestFit="1" customWidth="1"/>
    <col min="4" max="4" width="12.5703125" bestFit="1" customWidth="1"/>
  </cols>
  <sheetData>
    <row r="2" spans="1:9">
      <c r="A2" t="s">
        <v>77</v>
      </c>
      <c r="B2">
        <v>4388878.1708000004</v>
      </c>
      <c r="C2">
        <v>924570.2132</v>
      </c>
      <c r="D2">
        <v>4519588.2742999997</v>
      </c>
      <c r="E2">
        <v>0</v>
      </c>
    </row>
    <row r="3" spans="1:9">
      <c r="F3">
        <v>4388878.1708000004</v>
      </c>
      <c r="G3">
        <v>924570.2132</v>
      </c>
      <c r="H3">
        <v>4519588.2742999997</v>
      </c>
      <c r="I3">
        <v>0</v>
      </c>
    </row>
    <row r="6" spans="1:9">
      <c r="A6" t="s">
        <v>47</v>
      </c>
      <c r="B6" s="2">
        <v>299792458</v>
      </c>
    </row>
    <row r="7" spans="1:9">
      <c r="A7" t="s">
        <v>69</v>
      </c>
      <c r="B7">
        <f>7.2921151467*10^-5</f>
        <v>7.2921151466999996E-5</v>
      </c>
    </row>
    <row r="8" spans="1:9">
      <c r="A8" t="s">
        <v>121</v>
      </c>
      <c r="B8">
        <v>7.4999999999999997E-2</v>
      </c>
      <c r="C8" t="s">
        <v>122</v>
      </c>
    </row>
    <row r="10" spans="1:9">
      <c r="A10" t="s">
        <v>143</v>
      </c>
      <c r="B10">
        <v>1575.42</v>
      </c>
      <c r="C10" t="s">
        <v>152</v>
      </c>
    </row>
    <row r="11" spans="1:9">
      <c r="A11" t="s">
        <v>144</v>
      </c>
      <c r="B11" s="1">
        <v>1227.5999999999999</v>
      </c>
      <c r="C11" t="s">
        <v>152</v>
      </c>
    </row>
    <row r="12" spans="1:9">
      <c r="A12" t="s">
        <v>145</v>
      </c>
    </row>
    <row r="13" spans="1:9">
      <c r="A13" t="s">
        <v>146</v>
      </c>
      <c r="B13">
        <v>2.54572778</v>
      </c>
    </row>
    <row r="14" spans="1:9">
      <c r="A14" t="s">
        <v>147</v>
      </c>
      <c r="B14">
        <v>1.54572778</v>
      </c>
    </row>
    <row r="15" spans="1:9">
      <c r="A15" t="s">
        <v>149</v>
      </c>
      <c r="B15">
        <f>$B$6/(B$10*10^6)</f>
        <v>0.19029367279836487</v>
      </c>
      <c r="C15" t="s">
        <v>151</v>
      </c>
    </row>
    <row r="16" spans="1:9">
      <c r="A16" t="s">
        <v>150</v>
      </c>
      <c r="B16">
        <f>$B$6/(B$11*10^6)</f>
        <v>0.24421021342456825</v>
      </c>
      <c r="C16" t="s">
        <v>151</v>
      </c>
    </row>
    <row r="18" spans="1:4">
      <c r="A18" t="s">
        <v>163</v>
      </c>
      <c r="B18">
        <v>400</v>
      </c>
      <c r="C18" t="s">
        <v>164</v>
      </c>
      <c r="D18" t="s">
        <v>165</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
  <cols>
    <col min="1" max="1" width="137.85546875" customWidth="1"/>
  </cols>
  <sheetData>
    <row r="1" spans="1:1" ht="357.95" customHeight="1">
      <c r="A1" s="9" t="s">
        <v>142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opLeftCell="A4" workbookViewId="0"/>
  </sheetViews>
  <sheetFormatPr defaultRowHeight="15"/>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dimension ref="A1"/>
  <sheetViews>
    <sheetView workbookViewId="0">
      <selection activeCell="C2" sqref="C2"/>
    </sheetView>
  </sheetViews>
  <sheetFormatPr defaultRowHeight="1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dimension ref="A1"/>
  <sheetViews>
    <sheetView workbookViewId="0">
      <selection activeCell="D4" sqref="D4"/>
    </sheetView>
  </sheetViews>
  <sheetFormatPr defaultRowHeight="1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20</vt:i4>
      </vt:variant>
    </vt:vector>
  </HeadingPairs>
  <TitlesOfParts>
    <vt:vector size="20" baseType="lpstr">
      <vt:lpstr>xls2kml_latitudebias</vt:lpstr>
      <vt:lpstr>xls2kml_ionofree_PR</vt:lpstr>
      <vt:lpstr>xls2kml</vt:lpstr>
      <vt:lpstr>SP3</vt:lpstr>
      <vt:lpstr>sv02</vt:lpstr>
      <vt:lpstr>sv04</vt:lpstr>
      <vt:lpstr>sv07</vt:lpstr>
      <vt:lpstr>sv08</vt:lpstr>
      <vt:lpstr>sv10</vt:lpstr>
      <vt:lpstr>sv13</vt:lpstr>
      <vt:lpstr>sv20</vt:lpstr>
      <vt:lpstr>sv23</vt:lpstr>
      <vt:lpstr>tetto</vt:lpstr>
      <vt:lpstr>ionomap</vt:lpstr>
      <vt:lpstr>tetto_ionofree_PR</vt:lpstr>
      <vt:lpstr>coord</vt:lpstr>
      <vt:lpstr>leggimi</vt:lpstr>
      <vt:lpstr>traccia_su_CTR</vt:lpstr>
      <vt:lpstr>traccia_su_GoogleEarth_raw</vt:lpstr>
      <vt:lpstr>traccia_su_GoogleEarth_no_lat_b</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Caporali</dc:creator>
  <cp:lastModifiedBy>Alessandro Caporali</cp:lastModifiedBy>
  <dcterms:created xsi:type="dcterms:W3CDTF">2010-05-05T09:27:19Z</dcterms:created>
  <dcterms:modified xsi:type="dcterms:W3CDTF">2013-08-21T10:29:59Z</dcterms:modified>
</cp:coreProperties>
</file>